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tables/table9.xml" ContentType="application/vnd.openxmlformats-officedocument.spreadsheetml.table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8996" windowHeight="7992" activeTab="1"/>
  </bookViews>
  <sheets>
    <sheet name="Critères" sheetId="1" r:id="rId1"/>
    <sheet name="qualité du crédit" sheetId="5" r:id="rId2"/>
    <sheet name="ESB " sheetId="9" r:id="rId3"/>
    <sheet name="euribor" sheetId="8" r:id="rId4"/>
    <sheet name="intérêts légaux" sheetId="7" r:id="rId5"/>
    <sheet name="AM art 27 et suiv" sheetId="12" r:id="rId6"/>
  </sheets>
  <calcPr calcId="125725"/>
</workbook>
</file>

<file path=xl/calcChain.xml><?xml version="1.0" encoding="utf-8"?>
<calcChain xmlns="http://schemas.openxmlformats.org/spreadsheetml/2006/main">
  <c r="D6" i="1"/>
  <c r="E15" i="9"/>
  <c r="G6" s="1"/>
  <c r="G5"/>
  <c r="C15" s="1"/>
  <c r="D17" i="1"/>
  <c r="D11"/>
  <c r="D30"/>
  <c r="D37"/>
  <c r="H6"/>
  <c r="H17"/>
  <c r="H29"/>
  <c r="G15" i="9" l="1"/>
  <c r="C16"/>
  <c r="D15"/>
  <c r="H15"/>
  <c r="G32" i="1"/>
  <c r="D11" i="5" s="1"/>
  <c r="D12" s="1"/>
  <c r="E16" i="9"/>
  <c r="C17" l="1"/>
  <c r="G16"/>
  <c r="E17"/>
  <c r="H16"/>
  <c r="D16"/>
  <c r="F15"/>
  <c r="G4"/>
  <c r="D17" l="1"/>
  <c r="F17" s="1"/>
  <c r="C18"/>
  <c r="G17"/>
  <c r="H17"/>
  <c r="F16"/>
  <c r="I16" s="1"/>
  <c r="J16" s="1"/>
  <c r="K16" s="1"/>
  <c r="E18"/>
  <c r="I15"/>
  <c r="J15" s="1"/>
  <c r="K15" s="1"/>
  <c r="D18" l="1"/>
  <c r="F18" s="1"/>
  <c r="C19"/>
  <c r="G18"/>
  <c r="H18"/>
  <c r="E19"/>
  <c r="I17"/>
  <c r="J17" s="1"/>
  <c r="K17" s="1"/>
  <c r="D19" l="1"/>
  <c r="F19" s="1"/>
  <c r="C20"/>
  <c r="G19"/>
  <c r="E20"/>
  <c r="E21" s="1"/>
  <c r="H19"/>
  <c r="I18"/>
  <c r="J18" s="1"/>
  <c r="K18" s="1"/>
  <c r="D20" l="1"/>
  <c r="F20" s="1"/>
  <c r="C21"/>
  <c r="H21" s="1"/>
  <c r="G20"/>
  <c r="H20"/>
  <c r="E22"/>
  <c r="I19"/>
  <c r="J19" s="1"/>
  <c r="K19" s="1"/>
  <c r="C22" l="1"/>
  <c r="H22" s="1"/>
  <c r="G21"/>
  <c r="D21"/>
  <c r="E23"/>
  <c r="I20"/>
  <c r="J20" s="1"/>
  <c r="K20" s="1"/>
  <c r="C23" l="1"/>
  <c r="H23" s="1"/>
  <c r="G22"/>
  <c r="D22"/>
  <c r="F21"/>
  <c r="I21" s="1"/>
  <c r="J21" s="1"/>
  <c r="K21" s="1"/>
  <c r="E24"/>
  <c r="D23" l="1"/>
  <c r="F22"/>
  <c r="I22" s="1"/>
  <c r="J22" s="1"/>
  <c r="K22" s="1"/>
  <c r="C24"/>
  <c r="H24" s="1"/>
  <c r="G23"/>
  <c r="E25"/>
  <c r="G25" s="1"/>
  <c r="D24" l="1"/>
  <c r="F23"/>
  <c r="I23" s="1"/>
  <c r="J23" s="1"/>
  <c r="K23" s="1"/>
  <c r="C25"/>
  <c r="G24"/>
  <c r="H25"/>
  <c r="F25"/>
  <c r="D25" l="1"/>
  <c r="F24"/>
  <c r="I24" s="1"/>
  <c r="J24" s="1"/>
  <c r="K24" s="1"/>
  <c r="I25"/>
  <c r="J25" s="1"/>
  <c r="K25" s="1"/>
  <c r="K26" l="1"/>
  <c r="K27" l="1"/>
  <c r="K28"/>
</calcChain>
</file>

<file path=xl/sharedStrings.xml><?xml version="1.0" encoding="utf-8"?>
<sst xmlns="http://schemas.openxmlformats.org/spreadsheetml/2006/main" count="190" uniqueCount="150">
  <si>
    <t>non dénoncé</t>
  </si>
  <si>
    <t>0&lt;10</t>
  </si>
  <si>
    <t>11&lt;20</t>
  </si>
  <si>
    <t>21&lt;30</t>
  </si>
  <si>
    <t>31&lt;40</t>
  </si>
  <si>
    <t>41&lt;50</t>
  </si>
  <si>
    <t>51&lt;60</t>
  </si>
  <si>
    <t>61&lt;70</t>
  </si>
  <si>
    <t>71&lt;80</t>
  </si>
  <si>
    <t>81&lt;100</t>
  </si>
  <si>
    <t xml:space="preserve">fonds propre négatifs </t>
  </si>
  <si>
    <t>3 ans en +</t>
  </si>
  <si>
    <t>moyenne +</t>
  </si>
  <si>
    <t>moyenne -</t>
  </si>
  <si>
    <t>3 ans -</t>
  </si>
  <si>
    <t>posisitf</t>
  </si>
  <si>
    <t>Négatif</t>
  </si>
  <si>
    <t>hypothéque &lt; 50%</t>
  </si>
  <si>
    <t>mandat hypotécaire &lt; 50%</t>
  </si>
  <si>
    <t>&gt; 100%</t>
  </si>
  <si>
    <t>100% &lt; 96 %</t>
  </si>
  <si>
    <t>95% &lt; 91%</t>
  </si>
  <si>
    <t>90 % &lt; 86%</t>
  </si>
  <si>
    <t>85% &lt; 81%</t>
  </si>
  <si>
    <t>80%&lt;71%</t>
  </si>
  <si>
    <t>70%&lt;61%</t>
  </si>
  <si>
    <t>60%&lt;51%</t>
  </si>
  <si>
    <t>Qualité du crédit</t>
  </si>
  <si>
    <t>Points</t>
  </si>
  <si>
    <t>9 ou 10</t>
  </si>
  <si>
    <t>7 ou 8</t>
  </si>
  <si>
    <t>5 ou 6</t>
  </si>
  <si>
    <t>3 ou 4</t>
  </si>
  <si>
    <t xml:space="preserve">1 ou 2 </t>
  </si>
  <si>
    <t>Qualité la plus élevée</t>
  </si>
  <si>
    <t>Très bonne capacité de payement</t>
  </si>
  <si>
    <t>Bonne capacité de payement</t>
  </si>
  <si>
    <t>Capacité de payement adéquate</t>
  </si>
  <si>
    <t>La capacité de payement est vulnérable aux consitions défavorables</t>
  </si>
  <si>
    <t>La capacité de payement risque d'être entravée par des conditions défaforables</t>
  </si>
  <si>
    <t>Prime refuge annuelle</t>
  </si>
  <si>
    <t xml:space="preserve"> </t>
  </si>
  <si>
    <t>durée crédit</t>
  </si>
  <si>
    <t>durée garantie</t>
  </si>
  <si>
    <t>Année</t>
  </si>
  <si>
    <t>intérêt</t>
  </si>
  <si>
    <t>taux légal</t>
  </si>
  <si>
    <t>http://www.euribor-rates.eu/current-euribor-rates.asp</t>
  </si>
  <si>
    <t> Euribor - 1 week</t>
  </si>
  <si>
    <t> Euribor - 2 weeks</t>
  </si>
  <si>
    <t> Euribor - 1 month</t>
  </si>
  <si>
    <t> Euribor - 2 months</t>
  </si>
  <si>
    <t> Euribor - 3 months</t>
  </si>
  <si>
    <t> Euribor - 6 months</t>
  </si>
  <si>
    <t> Euribor - 9 months</t>
  </si>
  <si>
    <t> Euribor - 12 months</t>
  </si>
  <si>
    <t>sureté patrimoine &lt; 50%</t>
  </si>
  <si>
    <t>sureté patrimoine tiers &lt; 50%</t>
  </si>
  <si>
    <t>ESB =</t>
  </si>
  <si>
    <t xml:space="preserve">source : </t>
  </si>
  <si>
    <t>http://www.droitbelge.be/news_detail.asp?id=815</t>
  </si>
  <si>
    <t>http://treasury.fgov.be/rente_fr.htm</t>
  </si>
  <si>
    <t>Choix (X)</t>
  </si>
  <si>
    <t>Total</t>
  </si>
  <si>
    <t>Critère 5 : Cash flow</t>
  </si>
  <si>
    <t xml:space="preserve">Critère 1 : Exploitation établie depuis </t>
  </si>
  <si>
    <t>Critère 4 : compte de résultat des 3 dernières années</t>
  </si>
  <si>
    <t>Critère 6 : le crédit est couvert</t>
  </si>
  <si>
    <r>
      <t xml:space="preserve">Critère 2b : crédit auparavant 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Calibri"/>
        <family val="2"/>
        <scheme val="minor"/>
      </rPr>
      <t xml:space="preserve"> 10 ans</t>
    </r>
  </si>
  <si>
    <t>Critère 7 : emprunt - valeur investissement</t>
  </si>
  <si>
    <t>Critère 3 : capitaux propres/ total du passif</t>
  </si>
  <si>
    <t>Total des points</t>
  </si>
  <si>
    <t xml:space="preserve">Total points critères </t>
  </si>
  <si>
    <t>Critères</t>
  </si>
  <si>
    <t>Montant crédit</t>
  </si>
  <si>
    <t>Données à encoder</t>
  </si>
  <si>
    <t xml:space="preserve">Données </t>
  </si>
  <si>
    <t xml:space="preserve">capital garanti </t>
  </si>
  <si>
    <t>( capital * taux intérêt légal) * (capital garanti / capital)</t>
  </si>
  <si>
    <t>(Frais/durée) * (capital garanti / capital)</t>
  </si>
  <si>
    <t>prime refuge</t>
  </si>
  <si>
    <t>Données</t>
  </si>
  <si>
    <t xml:space="preserve">Données fixées </t>
  </si>
  <si>
    <t>Annuité montant crédit</t>
  </si>
  <si>
    <t>Actualisation (Euribor)</t>
  </si>
  <si>
    <t>dégressivité garantie</t>
  </si>
  <si>
    <t>Frais</t>
  </si>
  <si>
    <t>Valeur garantie</t>
  </si>
  <si>
    <t>Coût garantie</t>
  </si>
  <si>
    <t>ESB</t>
  </si>
  <si>
    <t xml:space="preserve">Montant crédit </t>
  </si>
  <si>
    <t>Intérêt</t>
  </si>
  <si>
    <t xml:space="preserve">Capital garanti </t>
  </si>
  <si>
    <r>
      <t>Montant des intérêts * (</t>
    </r>
    <r>
      <rPr>
        <i/>
        <sz val="11"/>
        <color theme="1"/>
        <rFont val="Calibri"/>
        <family val="2"/>
        <scheme val="minor"/>
      </rPr>
      <t xml:space="preserve"> capital garanti /  capital)</t>
    </r>
  </si>
  <si>
    <r>
      <t>5</t>
    </r>
    <r>
      <rPr>
        <sz val="10"/>
        <color theme="1"/>
        <rFont val="Calibri"/>
        <family val="2"/>
      </rPr>
      <t>≤</t>
    </r>
    <r>
      <rPr>
        <sz val="10"/>
        <color theme="1"/>
        <rFont val="Calibri"/>
        <family val="2"/>
        <scheme val="minor"/>
      </rPr>
      <t>x&lt;10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</si>
  <si>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10</t>
    </r>
  </si>
  <si>
    <t>autofinancement pour investissements &gt; 5.000€</t>
  </si>
  <si>
    <t>pas de crédit &gt; 10.000€</t>
  </si>
  <si>
    <t>dénonciation &lt; 10 ans</t>
  </si>
  <si>
    <t>dénonciation &lt; 5 ans</t>
  </si>
  <si>
    <r>
      <t xml:space="preserve">hypothéque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 xml:space="preserve">  50%</t>
    </r>
  </si>
  <si>
    <r>
      <t xml:space="preserve">mandat hypotécaire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 xml:space="preserve"> 50%</t>
    </r>
  </si>
  <si>
    <t>sureté patrimoine  ≥  50%</t>
  </si>
  <si>
    <t>sureté patrimoine tiers  ≥ 50%</t>
  </si>
  <si>
    <r>
      <rPr>
        <sz val="10"/>
        <color theme="1"/>
        <rFont val="Calibri"/>
        <family val="2"/>
      </rPr>
      <t>≤</t>
    </r>
    <r>
      <rPr>
        <sz val="10"/>
        <color theme="1"/>
        <rFont val="Calibri"/>
        <family val="2"/>
        <scheme val="minor"/>
      </rPr>
      <t>50%</t>
    </r>
  </si>
  <si>
    <t>ATTENTION</t>
  </si>
  <si>
    <t>si vous n'avez pas d'antécédant crédit alors vous devez encoder 3,80% dans la case "Prime refuge annuelle".</t>
  </si>
  <si>
    <t>si vous n'avez pas d'antécédant crédit alors vous devez encoder 3,80% dans la case "Prime refuge annuelle"de la feuille Qualité du crédit.</t>
  </si>
  <si>
    <t>Equivalent subvention Brut</t>
  </si>
  <si>
    <t>si vous n'avez pas répondu aux critères suivant 1, 2, 6 et 7 alors vous devez encoder 3,80% dans la case "Prime refuge annuelle".</t>
  </si>
  <si>
    <t>si vous n'avez pas répondu aux critères suivant 1, 2, 6 et 7 alors vous devez encoder 3,80% dans la case "Prime refuge annuelle" de la feuille Qualité du crédit.</t>
  </si>
  <si>
    <t>-0.152%</t>
  </si>
  <si>
    <t>-0.151%</t>
  </si>
  <si>
    <t>-0.149%</t>
  </si>
  <si>
    <t>-0.150%</t>
  </si>
  <si>
    <t>-0.148%</t>
  </si>
  <si>
    <t>-0.124%</t>
  </si>
  <si>
    <t>-0.123%</t>
  </si>
  <si>
    <t>-0.122%</t>
  </si>
  <si>
    <t>-0.121%</t>
  </si>
  <si>
    <t>-0.119%</t>
  </si>
  <si>
    <t>-0.090%</t>
  </si>
  <si>
    <t>-0.089%</t>
  </si>
  <si>
    <t>-0.088%</t>
  </si>
  <si>
    <t>-0.086%</t>
  </si>
  <si>
    <t>-0.084%</t>
  </si>
  <si>
    <t>-0.073%</t>
  </si>
  <si>
    <t>-0.071%</t>
  </si>
  <si>
    <t>-0.069%</t>
  </si>
  <si>
    <t>-0.066%</t>
  </si>
  <si>
    <t>-0.002%</t>
  </si>
  <si>
    <t>0.001%</t>
  </si>
  <si>
    <t>0.000%</t>
  </si>
  <si>
    <t>0.003%</t>
  </si>
  <si>
    <t>0.007%</t>
  </si>
  <si>
    <t>0.037%</t>
  </si>
  <si>
    <t>0.039%</t>
  </si>
  <si>
    <t>0.040%</t>
  </si>
  <si>
    <t>0.044%</t>
  </si>
  <si>
    <t>0.047%</t>
  </si>
  <si>
    <t>0.096%</t>
  </si>
  <si>
    <t>0.098%</t>
  </si>
  <si>
    <t>0.101%</t>
  </si>
  <si>
    <t>0.106%</t>
  </si>
  <si>
    <t>0.109%</t>
  </si>
  <si>
    <t>11 ou +</t>
  </si>
  <si>
    <t>Critère 2a : l'exploitation &gt; 5ans et +</t>
  </si>
  <si>
    <t xml:space="preserve">%age capital = </t>
  </si>
  <si>
    <t>%age garantie =</t>
  </si>
  <si>
    <t>x</t>
  </si>
</sst>
</file>

<file path=xl/styles.xml><?xml version="1.0" encoding="utf-8"?>
<styleSheet xmlns="http://schemas.openxmlformats.org/spreadsheetml/2006/main">
  <numFmts count="2">
    <numFmt numFmtId="44" formatCode="_ &quot;€&quot;\ * #,##0.00_ ;_ &quot;€&quot;\ * \-#,##0.00_ ;_ &quot;€&quot;\ * &quot;-&quot;??_ ;_ @_ "/>
    <numFmt numFmtId="164" formatCode="0.000%"/>
  </numFmts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5" tint="-0.249977111117893"/>
        <bgColor theme="4"/>
      </patternFill>
    </fill>
    <fill>
      <patternFill patternType="solid">
        <fgColor theme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3366"/>
      </left>
      <right/>
      <top/>
      <bottom style="medium">
        <color rgb="FF003366"/>
      </bottom>
      <diagonal/>
    </border>
    <border>
      <left/>
      <right/>
      <top/>
      <bottom style="medium">
        <color rgb="FF003366"/>
      </bottom>
      <diagonal/>
    </border>
    <border>
      <left/>
      <right style="medium">
        <color rgb="FF003366"/>
      </right>
      <top/>
      <bottom style="medium">
        <color rgb="FF003366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71"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2" borderId="1" xfId="0" applyFont="1" applyFill="1" applyBorder="1" applyAlignment="1">
      <alignment wrapText="1"/>
    </xf>
    <xf numFmtId="14" fontId="4" fillId="2" borderId="2" xfId="0" applyNumberFormat="1" applyFont="1" applyFill="1" applyBorder="1" applyAlignment="1">
      <alignment horizontal="center" wrapText="1"/>
    </xf>
    <xf numFmtId="14" fontId="4" fillId="2" borderId="3" xfId="0" applyNumberFormat="1" applyFont="1" applyFill="1" applyBorder="1" applyAlignment="1">
      <alignment horizontal="center" wrapText="1"/>
    </xf>
    <xf numFmtId="0" fontId="5" fillId="0" borderId="1" xfId="1" applyBorder="1" applyAlignment="1" applyProtection="1">
      <alignment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5" fillId="0" borderId="0" xfId="1" applyAlignment="1" applyProtection="1"/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0" fontId="0" fillId="0" borderId="0" xfId="2" applyNumberFormat="1" applyFont="1"/>
    <xf numFmtId="10" fontId="0" fillId="0" borderId="0" xfId="0" applyNumberFormat="1" applyBorder="1"/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5" borderId="8" xfId="0" applyFont="1" applyFill="1" applyBorder="1" applyAlignment="1">
      <alignment horizontal="left" vertical="center" wrapText="1"/>
    </xf>
    <xf numFmtId="10" fontId="0" fillId="5" borderId="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6" borderId="10" xfId="0" applyFill="1" applyBorder="1" applyAlignment="1">
      <alignment horizontal="left" vertical="center" wrapText="1"/>
    </xf>
    <xf numFmtId="44" fontId="0" fillId="0" borderId="0" xfId="3" applyFont="1" applyBorder="1"/>
    <xf numFmtId="44" fontId="0" fillId="0" borderId="0" xfId="3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3" fillId="4" borderId="11" xfId="4" applyBorder="1"/>
    <xf numFmtId="4" fontId="13" fillId="4" borderId="11" xfId="4" applyNumberFormat="1" applyBorder="1"/>
    <xf numFmtId="10" fontId="13" fillId="4" borderId="11" xfId="4" applyNumberFormat="1" applyBorder="1"/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3" fillId="4" borderId="0" xfId="4" applyBorder="1" applyAlignment="1">
      <alignment horizontal="right"/>
    </xf>
    <xf numFmtId="0" fontId="13" fillId="4" borderId="0" xfId="4" applyBorder="1"/>
    <xf numFmtId="0" fontId="6" fillId="0" borderId="0" xfId="0" applyNumberFormat="1" applyFont="1" applyBorder="1" applyAlignment="1">
      <alignment horizontal="center" vertical="center"/>
    </xf>
    <xf numFmtId="0" fontId="15" fillId="0" borderId="0" xfId="0" applyFont="1"/>
    <xf numFmtId="0" fontId="5" fillId="7" borderId="1" xfId="1" applyFill="1" applyBorder="1" applyAlignment="1" applyProtection="1">
      <alignment wrapText="1"/>
    </xf>
    <xf numFmtId="0" fontId="1" fillId="7" borderId="2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10" fontId="0" fillId="0" borderId="0" xfId="0" applyNumberForma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justify"/>
    </xf>
    <xf numFmtId="44" fontId="0" fillId="0" borderId="0" xfId="3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0" fontId="0" fillId="0" borderId="0" xfId="2" applyNumberFormat="1" applyFont="1" applyBorder="1" applyAlignment="1" applyProtection="1">
      <alignment horizontal="center" vertical="center"/>
      <protection locked="0"/>
    </xf>
    <xf numFmtId="164" fontId="0" fillId="6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3" fillId="4" borderId="0" xfId="4" applyBorder="1" applyAlignment="1">
      <alignment horizontal="right" vertical="center"/>
    </xf>
    <xf numFmtId="0" fontId="15" fillId="0" borderId="0" xfId="0" applyFont="1" applyBorder="1"/>
    <xf numFmtId="10" fontId="13" fillId="4" borderId="0" xfId="4" applyNumberFormat="1" applyBorder="1" applyProtection="1">
      <protection locked="0"/>
    </xf>
    <xf numFmtId="10" fontId="0" fillId="0" borderId="0" xfId="0" applyNumberFormat="1"/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5">
    <cellStyle name="Accent2" xfId="4" builtinId="33"/>
    <cellStyle name="Lien hypertexte" xfId="1" builtinId="8"/>
    <cellStyle name="Monétaire" xfId="3" builtinId="4"/>
    <cellStyle name="Normal" xfId="0" builtinId="0"/>
    <cellStyle name="Pourcentage" xfId="2" builtinId="5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 &quot;€&quot;\ * #,##0.00_ ;_ &quot;€&quot;\ * \-#,##0.00_ ;_ &quot;€&quot;\ * &quot;-&quot;??_ ;_ @_ "/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 &quot;€&quot;\ * #,##0.00_ ;_ &quot;€&quot;\ * \-#,##0.00_ ;_ &quot;€&quot;\ * &quot;-&quot;??_ ;_ @_ "/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 &quot;€&quot;\ * #,##0.00_ ;_ &quot;€&quot;\ * \-#,##0.00_ ;_ &quot;€&quot;\ * &quot;-&quot;??_ ;_ @_ "/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 &quot;€&quot;\ * #,##0.00_ ;_ &quot;€&quot;\ * \-#,##0.00_ ;_ &quot;€&quot;\ * &quot;-&quot;??_ ;_ @_ "/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14" formatCode="0.00%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  <protection locked="0" hidden="0"/>
    </dxf>
    <dxf>
      <alignment horizontal="left" vertical="center" textRotation="0" wrapText="1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0" justifyLastLine="0" shrinkToFit="0" mergeCell="0" readingOrder="0"/>
    </dxf>
    <dxf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relativeIndent="255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numFmt numFmtId="0" formatCode="General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409575</xdr:colOff>
      <xdr:row>48</xdr:row>
      <xdr:rowOff>142875</xdr:rowOff>
    </xdr:to>
    <xdr:pic>
      <xdr:nvPicPr>
        <xdr:cNvPr id="1025" name="Picture 1" descr="http://www.droitbelge.be/docs/interets2015_m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5743575" cy="890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191272</xdr:colOff>
      <xdr:row>35</xdr:row>
      <xdr:rowOff>143773</xdr:rowOff>
    </xdr:to>
    <xdr:pic>
      <xdr:nvPicPr>
        <xdr:cNvPr id="4" name="Image 3" descr="2015-11-04 11_28_09-arrete ministeriel execution aides secteur agricole - arrete_ministeriel_execut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381000"/>
          <a:ext cx="5525272" cy="64302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8</xdr:col>
      <xdr:colOff>105535</xdr:colOff>
      <xdr:row>39</xdr:row>
      <xdr:rowOff>85790</xdr:rowOff>
    </xdr:to>
    <xdr:pic>
      <xdr:nvPicPr>
        <xdr:cNvPr id="5" name="Image 4" descr="2015-11-04 11_29_08-arrete ministeriel execution aides secteur agricole - arrete_ministeriel_execut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0" y="7048500"/>
          <a:ext cx="5439535" cy="4667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au3" displayName="Tableau3" ref="B3:D6" totalsRowShown="0">
  <tableColumns count="3">
    <tableColumn id="1" name="Critère 1 : Exploitation établie depuis " dataDxfId="43"/>
    <tableColumn id="2" name="Points" dataDxfId="42"/>
    <tableColumn id="3" name="Choix (X)" dataDxfId="41">
      <calculatedColumnFormula>IF(D2="X",C2,IF(D3="X",C3,0))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" name="Tableau1" displayName="Tableau1" ref="C3:D11" totalsRowShown="0" headerRowDxfId="17" dataDxfId="16">
  <tableColumns count="2">
    <tableColumn id="1" name="Données à encoder" dataDxfId="15"/>
    <tableColumn id="2" name="Données " dataDxfId="14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" name="Tableau2" displayName="Tableau2" ref="F3:G6" totalsRowShown="0" headerRowDxfId="13">
  <tableColumns count="2">
    <tableColumn id="1" name="Données fixées "/>
    <tableColumn id="2" name="Données" dataDxfId="12">
      <calculatedColumnFormula>'qualité du crédit'!D12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5" name="Tableau5" displayName="Tableau5" ref="B14:K25" totalsRowShown="0" headerRowDxfId="11" dataDxfId="10" dataCellStyle="Monétaire">
  <tableColumns count="10">
    <tableColumn id="1" name="Année" dataDxfId="9"/>
    <tableColumn id="2" name="Montant crédit " dataDxfId="8" dataCellStyle="Monétaire">
      <calculatedColumnFormula>IF(C14&lt;0.1,,$D$4-($G$5*B15))</calculatedColumnFormula>
    </tableColumn>
    <tableColumn id="3" name="Intérêt" dataDxfId="7" dataCellStyle="Monétaire">
      <calculatedColumnFormula>IF(D14&lt;0.1,,C15*$D$6)</calculatedColumnFormula>
    </tableColumn>
    <tableColumn id="4" name="Capital garanti " dataDxfId="6" dataCellStyle="Monétaire">
      <calculatedColumnFormula>IF(E14&lt;=0.1,,E14-$G$6)</calculatedColumnFormula>
    </tableColumn>
    <tableColumn id="5" name="Montant des intérêts * ( capital garanti /  capital)" dataDxfId="5" dataCellStyle="Monétaire">
      <calculatedColumnFormula>IF(E15&lt;0.1,,D15*(E15/C15))</calculatedColumnFormula>
    </tableColumn>
    <tableColumn id="6" name="( capital * taux intérêt légal) * (capital garanti / capital)" dataDxfId="4" dataCellStyle="Monétaire">
      <calculatedColumnFormula>IF(E15&lt;0.1,,(C15*$D$9)*(E15/C15))</calculatedColumnFormula>
    </tableColumn>
    <tableColumn id="8" name="(Frais/durée) * (capital garanti / capital)" dataDxfId="3" dataCellStyle="Monétaire">
      <calculatedColumnFormula>IF(E15&lt;0.1,,($D$10/$D$5)*(E15/C15))</calculatedColumnFormula>
    </tableColumn>
    <tableColumn id="9" name="Valeur garantie" dataDxfId="2" dataCellStyle="Monétaire">
      <calculatedColumnFormula>E15+F15+G15+H15</calculatedColumnFormula>
    </tableColumn>
    <tableColumn id="10" name="Coût garantie" dataDxfId="1" dataCellStyle="Monétaire">
      <calculatedColumnFormula>I15*$G$4</calculatedColumnFormula>
    </tableColumn>
    <tableColumn id="11" name="ESB" dataDxfId="0" dataCellStyle="Monétaire">
      <calculatedColumnFormula>J15*(1+$D$11)^B15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B8:D11" totalsRowShown="0">
  <autoFilter ref="B8:D11"/>
  <tableColumns count="3">
    <tableColumn id="1" name="Critère 2a : l'exploitation &gt; 5ans et +" dataDxfId="40"/>
    <tableColumn id="2" name="Points"/>
    <tableColumn id="3" name="Choix (X)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" name="Tableau6" displayName="Tableau6" ref="B13:D17" totalsRowShown="0" headerRowDxfId="39">
  <autoFilter ref="B13:D17"/>
  <tableColumns count="3">
    <tableColumn id="1" name="Critère 2b : crédit auparavant ≥ 10 ans" dataDxfId="38"/>
    <tableColumn id="2" name="Points" dataDxfId="37"/>
    <tableColumn id="3" name="Choix (X)" dataDxfId="3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7" name="Tableau7" displayName="Tableau7" ref="B19:D30" totalsRowShown="0" headerRowDxfId="35">
  <autoFilter ref="B19:D30"/>
  <tableColumns count="3">
    <tableColumn id="1" name="Critère 3 : capitaux propres/ total du passif" dataDxfId="34"/>
    <tableColumn id="2" name="Points" dataDxfId="33"/>
    <tableColumn id="3" name="Choix (X)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eau8" displayName="Tableau8" ref="B32:D37" totalsRowShown="0">
  <autoFilter ref="B32:D37"/>
  <tableColumns count="3">
    <tableColumn id="1" name="Critère 4 : compte de résultat des 3 dernières années" dataDxfId="32"/>
    <tableColumn id="2" name="Points" dataDxfId="31"/>
    <tableColumn id="3" name="Choix (X)" dataDxfId="3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0" name="Tableau10" displayName="Tableau10" ref="F3:H6" totalsRowShown="0">
  <autoFilter ref="F3:H6"/>
  <tableColumns count="3">
    <tableColumn id="1" name="Critère 5 : Cash flow" dataDxfId="29"/>
    <tableColumn id="2" name="Points"/>
    <tableColumn id="3" name="Choix (X)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1" name="Tableau11" displayName="Tableau11" ref="F8:H17" totalsRowShown="0">
  <autoFilter ref="F8:H17"/>
  <tableColumns count="3">
    <tableColumn id="1" name="Critère 6 : le crédit est couvert" dataDxfId="28"/>
    <tableColumn id="2" name="Points" dataDxfId="27"/>
    <tableColumn id="3" name="Choix (X)" dataDxfId="26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2" name="Tableau12" displayName="Tableau12" ref="F19:H29" totalsRowShown="0">
  <autoFilter ref="F19:H29"/>
  <tableColumns count="3">
    <tableColumn id="1" name="Critère 7 : emprunt - valeur investissement" dataDxfId="25"/>
    <tableColumn id="2" name="Points" dataDxfId="24"/>
    <tableColumn id="3" name="Choix (X)" dataDxfId="23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au9" displayName="Tableau9" ref="B3:D9" totalsRowShown="0" headerRowBorderDxfId="22" tableBorderDxfId="21">
  <tableColumns count="3">
    <tableColumn id="1" name="Points" dataDxfId="20"/>
    <tableColumn id="2" name="Qualité du crédit" dataDxfId="19"/>
    <tableColumn id="3" name="Prime refuge annuelle" dataDxfId="1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uribor-rates.eu/euribor-rate-12-months.asp" TargetMode="External"/><Relationship Id="rId13" Type="http://schemas.openxmlformats.org/officeDocument/2006/relationships/hyperlink" Target="http://www.euribor-rates.eu/euribor-rate-2-months.asp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://www.euribor-rates.eu/euribor-rate-1-month.asp" TargetMode="External"/><Relationship Id="rId7" Type="http://schemas.openxmlformats.org/officeDocument/2006/relationships/hyperlink" Target="http://www.euribor-rates.eu/euribor-rate-9-months.asp" TargetMode="External"/><Relationship Id="rId12" Type="http://schemas.openxmlformats.org/officeDocument/2006/relationships/hyperlink" Target="http://www.euribor-rates.eu/euribor-rate-1-month.asp" TargetMode="External"/><Relationship Id="rId17" Type="http://schemas.openxmlformats.org/officeDocument/2006/relationships/hyperlink" Target="http://www.euribor-rates.eu/euribor-rate-12-months.asp" TargetMode="External"/><Relationship Id="rId2" Type="http://schemas.openxmlformats.org/officeDocument/2006/relationships/hyperlink" Target="http://www.euribor-rates.eu/euribor-rate-2-weeks.asp" TargetMode="External"/><Relationship Id="rId16" Type="http://schemas.openxmlformats.org/officeDocument/2006/relationships/hyperlink" Target="http://www.euribor-rates.eu/euribor-rate-9-months.asp" TargetMode="External"/><Relationship Id="rId1" Type="http://schemas.openxmlformats.org/officeDocument/2006/relationships/hyperlink" Target="http://www.euribor-rates.eu/euribor-rate-1-week.asp" TargetMode="External"/><Relationship Id="rId6" Type="http://schemas.openxmlformats.org/officeDocument/2006/relationships/hyperlink" Target="http://www.euribor-rates.eu/euribor-rate-6-months.asp" TargetMode="External"/><Relationship Id="rId11" Type="http://schemas.openxmlformats.org/officeDocument/2006/relationships/hyperlink" Target="http://www.euribor-rates.eu/euribor-rate-2-weeks.asp" TargetMode="External"/><Relationship Id="rId5" Type="http://schemas.openxmlformats.org/officeDocument/2006/relationships/hyperlink" Target="http://www.euribor-rates.eu/euribor-rate-3-months.asp" TargetMode="External"/><Relationship Id="rId15" Type="http://schemas.openxmlformats.org/officeDocument/2006/relationships/hyperlink" Target="http://www.euribor-rates.eu/euribor-rate-6-months.asp" TargetMode="External"/><Relationship Id="rId10" Type="http://schemas.openxmlformats.org/officeDocument/2006/relationships/hyperlink" Target="http://www.euribor-rates.eu/euribor-rate-1-week.asp" TargetMode="External"/><Relationship Id="rId4" Type="http://schemas.openxmlformats.org/officeDocument/2006/relationships/hyperlink" Target="http://www.euribor-rates.eu/euribor-rate-2-months.asp" TargetMode="External"/><Relationship Id="rId9" Type="http://schemas.openxmlformats.org/officeDocument/2006/relationships/hyperlink" Target="http://www.euribor-rates.eu/current-euribor-rates.asp" TargetMode="External"/><Relationship Id="rId14" Type="http://schemas.openxmlformats.org/officeDocument/2006/relationships/hyperlink" Target="http://www.euribor-rates.eu/euribor-rate-3-months.as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treasury.fgov.be/rente_fr.htm" TargetMode="External"/><Relationship Id="rId1" Type="http://schemas.openxmlformats.org/officeDocument/2006/relationships/hyperlink" Target="http://www.droitbelge.be/news_detail.asp?id=81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51"/>
  <sheetViews>
    <sheetView view="pageLayout" topLeftCell="A7" zoomScaleNormal="100" workbookViewId="0">
      <selection activeCell="D26" sqref="D26"/>
    </sheetView>
  </sheetViews>
  <sheetFormatPr baseColWidth="10" defaultRowHeight="14.4"/>
  <cols>
    <col min="1" max="1" width="3.5546875" customWidth="1"/>
    <col min="2" max="2" width="45.109375" style="12" customWidth="1"/>
    <col min="3" max="3" width="9.5546875" customWidth="1"/>
    <col min="4" max="4" width="11.109375" customWidth="1"/>
    <col min="5" max="5" width="3.5546875" customWidth="1"/>
    <col min="6" max="6" width="39.109375" style="22" customWidth="1"/>
    <col min="8" max="8" width="11.44140625" style="12"/>
    <col min="9" max="9" width="3.33203125" customWidth="1"/>
    <col min="10" max="10" width="35.109375" bestFit="1" customWidth="1"/>
    <col min="12" max="12" width="11.44140625" style="12"/>
  </cols>
  <sheetData>
    <row r="1" spans="2:8" ht="23.4">
      <c r="B1" s="64" t="s">
        <v>73</v>
      </c>
      <c r="C1" s="65"/>
      <c r="D1" s="65"/>
      <c r="E1" s="65"/>
      <c r="F1" s="65"/>
      <c r="G1" s="65"/>
      <c r="H1" s="66"/>
    </row>
    <row r="3" spans="2:8">
      <c r="B3" s="18" t="s">
        <v>65</v>
      </c>
      <c r="C3" s="18" t="s">
        <v>28</v>
      </c>
      <c r="D3" s="14" t="s">
        <v>62</v>
      </c>
      <c r="F3" s="25" t="s">
        <v>64</v>
      </c>
      <c r="G3" s="18" t="s">
        <v>28</v>
      </c>
      <c r="H3" s="18" t="s">
        <v>62</v>
      </c>
    </row>
    <row r="4" spans="2:8">
      <c r="B4" s="11" t="s">
        <v>94</v>
      </c>
      <c r="C4" s="13">
        <v>1</v>
      </c>
      <c r="D4" s="56"/>
      <c r="F4" s="23" t="s">
        <v>15</v>
      </c>
      <c r="G4" s="11">
        <v>2</v>
      </c>
      <c r="H4" s="57"/>
    </row>
    <row r="5" spans="2:8">
      <c r="B5" s="11" t="s">
        <v>95</v>
      </c>
      <c r="C5" s="13">
        <v>3</v>
      </c>
      <c r="D5" s="56"/>
      <c r="F5" s="23" t="s">
        <v>16</v>
      </c>
      <c r="G5" s="11">
        <v>-2</v>
      </c>
      <c r="H5" s="57"/>
    </row>
    <row r="6" spans="2:8">
      <c r="B6" s="11"/>
      <c r="C6" s="14" t="s">
        <v>63</v>
      </c>
      <c r="D6" s="44">
        <f t="shared" ref="D6" si="0">IF(D4="X",C4,IF(D5="X",C5,0))</f>
        <v>0</v>
      </c>
      <c r="F6" s="23"/>
      <c r="G6" s="18" t="s">
        <v>63</v>
      </c>
      <c r="H6" s="18">
        <f>IF(H4="X",G4,IF(H5="X",G5,0))</f>
        <v>0</v>
      </c>
    </row>
    <row r="7" spans="2:8">
      <c r="B7" s="19"/>
      <c r="D7" s="13"/>
      <c r="F7" s="24"/>
      <c r="G7" s="17"/>
      <c r="H7" s="13"/>
    </row>
    <row r="8" spans="2:8">
      <c r="B8" s="18" t="s">
        <v>146</v>
      </c>
      <c r="C8" s="18" t="s">
        <v>28</v>
      </c>
      <c r="D8" s="18" t="s">
        <v>62</v>
      </c>
      <c r="F8" s="25" t="s">
        <v>67</v>
      </c>
      <c r="G8" s="18" t="s">
        <v>28</v>
      </c>
      <c r="H8" s="14" t="s">
        <v>62</v>
      </c>
    </row>
    <row r="9" spans="2:8">
      <c r="B9" s="11" t="s">
        <v>97</v>
      </c>
      <c r="C9" s="11">
        <v>4</v>
      </c>
      <c r="D9" s="57"/>
      <c r="F9" s="23" t="s">
        <v>17</v>
      </c>
      <c r="G9" s="13">
        <v>6</v>
      </c>
      <c r="H9" s="53"/>
    </row>
    <row r="10" spans="2:8">
      <c r="B10" s="11" t="s">
        <v>96</v>
      </c>
      <c r="C10" s="11">
        <v>2</v>
      </c>
      <c r="D10" s="57"/>
      <c r="F10" s="23" t="s">
        <v>100</v>
      </c>
      <c r="G10" s="13">
        <v>9</v>
      </c>
      <c r="H10" s="53"/>
    </row>
    <row r="11" spans="2:8">
      <c r="B11" s="11"/>
      <c r="C11" s="14" t="s">
        <v>63</v>
      </c>
      <c r="D11" s="14">
        <f>IF(D9="X",C9,IF(D10="X",C10,0))</f>
        <v>0</v>
      </c>
      <c r="F11" s="23" t="s">
        <v>18</v>
      </c>
      <c r="G11" s="13">
        <v>2</v>
      </c>
      <c r="H11" s="53"/>
    </row>
    <row r="12" spans="2:8">
      <c r="B12" s="11"/>
      <c r="C12" s="11"/>
      <c r="D12" s="11"/>
      <c r="F12" s="23" t="s">
        <v>101</v>
      </c>
      <c r="G12" s="13">
        <v>4</v>
      </c>
      <c r="H12" s="53"/>
    </row>
    <row r="13" spans="2:8">
      <c r="B13" s="18" t="s">
        <v>68</v>
      </c>
      <c r="C13" s="18" t="s">
        <v>28</v>
      </c>
      <c r="D13" s="18" t="s">
        <v>62</v>
      </c>
      <c r="F13" s="26" t="s">
        <v>56</v>
      </c>
      <c r="G13" s="20">
        <v>4</v>
      </c>
      <c r="H13" s="53"/>
    </row>
    <row r="14" spans="2:8">
      <c r="B14" s="11" t="s">
        <v>0</v>
      </c>
      <c r="C14" s="11">
        <v>2</v>
      </c>
      <c r="D14" s="57"/>
      <c r="F14" s="26" t="s">
        <v>102</v>
      </c>
      <c r="G14" s="20">
        <v>6</v>
      </c>
      <c r="H14" s="53"/>
    </row>
    <row r="15" spans="2:8">
      <c r="B15" s="11" t="s">
        <v>99</v>
      </c>
      <c r="C15" s="11">
        <v>-4</v>
      </c>
      <c r="D15" s="57"/>
      <c r="F15" s="26" t="s">
        <v>57</v>
      </c>
      <c r="G15" s="20">
        <v>6</v>
      </c>
      <c r="H15" s="53"/>
    </row>
    <row r="16" spans="2:8">
      <c r="B16" s="11" t="s">
        <v>98</v>
      </c>
      <c r="C16" s="11">
        <v>-2</v>
      </c>
      <c r="D16" s="57"/>
      <c r="F16" s="26" t="s">
        <v>103</v>
      </c>
      <c r="G16" s="20">
        <v>9</v>
      </c>
      <c r="H16" s="53"/>
    </row>
    <row r="17" spans="2:8">
      <c r="B17" s="11"/>
      <c r="C17" s="14" t="s">
        <v>63</v>
      </c>
      <c r="D17" s="14">
        <f>IF(D14="X",C14,IF(D15="X",C15,IF(D16="X",C16,0)))</f>
        <v>0</v>
      </c>
      <c r="F17" s="24"/>
      <c r="G17" s="14" t="s">
        <v>63</v>
      </c>
      <c r="H17" s="14">
        <f>IF(H9="X",G9,IF(H10="x",G10,IF(H11="x",G11,IF(H12="x",G12,IF(H13="X",G13,IF(H14="X",G14,IF(H15="X",G15,IF(H16="X",G16,0))))))))</f>
        <v>0</v>
      </c>
    </row>
    <row r="18" spans="2:8">
      <c r="B18" s="11"/>
      <c r="C18" s="14"/>
      <c r="D18" s="14"/>
      <c r="F18" s="24"/>
      <c r="G18" s="17"/>
      <c r="H18" s="13"/>
    </row>
    <row r="19" spans="2:8">
      <c r="B19" s="18" t="s">
        <v>70</v>
      </c>
      <c r="C19" s="18" t="s">
        <v>28</v>
      </c>
      <c r="D19" s="18" t="s">
        <v>62</v>
      </c>
      <c r="F19" s="25" t="s">
        <v>69</v>
      </c>
      <c r="G19" s="18" t="s">
        <v>28</v>
      </c>
      <c r="H19" s="18" t="s">
        <v>62</v>
      </c>
    </row>
    <row r="20" spans="2:8">
      <c r="B20" s="11" t="s">
        <v>1</v>
      </c>
      <c r="C20" s="11">
        <v>0</v>
      </c>
      <c r="D20" s="57"/>
      <c r="F20" s="23" t="s">
        <v>19</v>
      </c>
      <c r="G20" s="11">
        <v>-1</v>
      </c>
      <c r="H20" s="53"/>
    </row>
    <row r="21" spans="2:8">
      <c r="B21" s="11" t="s">
        <v>2</v>
      </c>
      <c r="C21" s="11">
        <v>1</v>
      </c>
      <c r="D21" s="57"/>
      <c r="F21" s="23" t="s">
        <v>20</v>
      </c>
      <c r="G21" s="11">
        <v>0</v>
      </c>
      <c r="H21" s="53"/>
    </row>
    <row r="22" spans="2:8">
      <c r="B22" s="11" t="s">
        <v>3</v>
      </c>
      <c r="C22" s="11">
        <v>2</v>
      </c>
      <c r="D22" s="57"/>
      <c r="F22" s="23" t="s">
        <v>21</v>
      </c>
      <c r="G22" s="11">
        <v>1</v>
      </c>
      <c r="H22" s="53"/>
    </row>
    <row r="23" spans="2:8">
      <c r="B23" s="11" t="s">
        <v>4</v>
      </c>
      <c r="C23" s="11">
        <v>3</v>
      </c>
      <c r="D23" s="57"/>
      <c r="F23" s="23" t="s">
        <v>22</v>
      </c>
      <c r="G23" s="11">
        <v>2</v>
      </c>
      <c r="H23" s="53" t="s">
        <v>149</v>
      </c>
    </row>
    <row r="24" spans="2:8">
      <c r="B24" s="11" t="s">
        <v>5</v>
      </c>
      <c r="C24" s="11">
        <v>4</v>
      </c>
      <c r="D24" s="57"/>
      <c r="F24" s="23" t="s">
        <v>23</v>
      </c>
      <c r="G24" s="11">
        <v>3</v>
      </c>
      <c r="H24" s="59"/>
    </row>
    <row r="25" spans="2:8">
      <c r="B25" s="11" t="s">
        <v>6</v>
      </c>
      <c r="C25" s="11">
        <v>5</v>
      </c>
      <c r="D25" s="57"/>
      <c r="F25" s="23" t="s">
        <v>24</v>
      </c>
      <c r="G25" s="11">
        <v>4</v>
      </c>
      <c r="H25" s="59"/>
    </row>
    <row r="26" spans="2:8">
      <c r="B26" s="11" t="s">
        <v>7</v>
      </c>
      <c r="C26" s="11">
        <v>6</v>
      </c>
      <c r="D26" s="57" t="s">
        <v>149</v>
      </c>
      <c r="F26" s="23" t="s">
        <v>25</v>
      </c>
      <c r="G26" s="11">
        <v>6</v>
      </c>
      <c r="H26" s="59"/>
    </row>
    <row r="27" spans="2:8">
      <c r="B27" s="11" t="s">
        <v>8</v>
      </c>
      <c r="C27" s="11">
        <v>7</v>
      </c>
      <c r="D27" s="57"/>
      <c r="F27" s="23" t="s">
        <v>26</v>
      </c>
      <c r="G27" s="11">
        <v>8</v>
      </c>
      <c r="H27" s="59"/>
    </row>
    <row r="28" spans="2:8">
      <c r="B28" s="11" t="s">
        <v>9</v>
      </c>
      <c r="C28" s="11">
        <v>8</v>
      </c>
      <c r="D28" s="58"/>
      <c r="F28" s="23" t="s">
        <v>104</v>
      </c>
      <c r="G28" s="11">
        <v>10</v>
      </c>
      <c r="H28" s="59"/>
    </row>
    <row r="29" spans="2:8">
      <c r="B29" s="11" t="s">
        <v>10</v>
      </c>
      <c r="C29" s="11">
        <v>-6</v>
      </c>
      <c r="D29" s="58"/>
      <c r="F29" s="24"/>
      <c r="G29" s="14" t="s">
        <v>63</v>
      </c>
      <c r="H29" s="14">
        <f>IF(H20="x",G20,IF(H21="X",G21,IF(H22="x",G22,IF(H23="x",G23,IF(H24="x",G24,IF(H25="X",G25,IF(H26="X",G26,IF(H27="X",G27,IF(H28="X",G28,0)))))))))</f>
        <v>2</v>
      </c>
    </row>
    <row r="30" spans="2:8">
      <c r="B30" s="11"/>
      <c r="C30" s="18" t="s">
        <v>63</v>
      </c>
      <c r="D30" s="18">
        <f>IF(D20="x",C20,IF(D21="x",C21,IF(D22="X",C22,IF(D23="x",C23,IF(D24="x",C24,IF(D25="x",C25,IF(D26="X",C26,IF(D27="X",C27,IF(D28="X",C28,IF(D29="X",C29,0))))))))))</f>
        <v>6</v>
      </c>
      <c r="H30" s="13"/>
    </row>
    <row r="31" spans="2:8">
      <c r="B31" s="11"/>
      <c r="C31" s="14"/>
      <c r="D31" s="14"/>
      <c r="H31" s="13"/>
    </row>
    <row r="32" spans="2:8" ht="15.6">
      <c r="B32" s="18" t="s">
        <v>66</v>
      </c>
      <c r="C32" s="18" t="s">
        <v>28</v>
      </c>
      <c r="D32" s="14" t="s">
        <v>62</v>
      </c>
      <c r="F32" s="27" t="s">
        <v>71</v>
      </c>
      <c r="G32" s="21">
        <f>D6+D11+D37+H17+D17+H6+H29+D30</f>
        <v>8</v>
      </c>
      <c r="H32" s="13"/>
    </row>
    <row r="33" spans="2:12">
      <c r="B33" s="11" t="s">
        <v>11</v>
      </c>
      <c r="C33" s="13">
        <v>4</v>
      </c>
      <c r="D33" s="53"/>
      <c r="H33"/>
      <c r="L33"/>
    </row>
    <row r="34" spans="2:12">
      <c r="B34" s="11" t="s">
        <v>12</v>
      </c>
      <c r="C34" s="13">
        <v>2</v>
      </c>
      <c r="D34" s="53"/>
      <c r="H34" s="13"/>
    </row>
    <row r="35" spans="2:12">
      <c r="B35" s="11" t="s">
        <v>13</v>
      </c>
      <c r="C35" s="13">
        <v>-1</v>
      </c>
      <c r="D35" s="53"/>
    </row>
    <row r="36" spans="2:12">
      <c r="B36" s="11" t="s">
        <v>14</v>
      </c>
      <c r="C36" s="13">
        <v>-2</v>
      </c>
      <c r="D36" s="53"/>
    </row>
    <row r="37" spans="2:12">
      <c r="B37" s="11"/>
      <c r="C37" s="14" t="s">
        <v>63</v>
      </c>
      <c r="D37" s="14">
        <f>IF(D33="X",C33,IF(D34="X",C34,IF(D35="X",C35,IF(D36="X",C36,0))))</f>
        <v>0</v>
      </c>
    </row>
    <row r="38" spans="2:12">
      <c r="B38" s="19"/>
      <c r="D38" s="13"/>
    </row>
    <row r="39" spans="2:12">
      <c r="B39" s="45" t="s">
        <v>105</v>
      </c>
    </row>
    <row r="40" spans="2:12">
      <c r="B40" s="45" t="s">
        <v>110</v>
      </c>
    </row>
    <row r="41" spans="2:12">
      <c r="B41" s="45" t="s">
        <v>107</v>
      </c>
    </row>
    <row r="42" spans="2:12" ht="15.6">
      <c r="B42" s="51"/>
    </row>
    <row r="43" spans="2:12">
      <c r="B43" s="45"/>
    </row>
    <row r="49" spans="4:4">
      <c r="D49" s="10"/>
    </row>
    <row r="50" spans="4:4">
      <c r="D50" s="10"/>
    </row>
    <row r="51" spans="4:4">
      <c r="D51" s="10"/>
    </row>
  </sheetData>
  <sheetProtection password="CB07" sheet="1" objects="1" scenarios="1"/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&amp;L&amp;G</oddHeader>
  </headerFooter>
  <legacyDrawingHF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tabSelected="1" showRuler="0" view="pageLayout" zoomScale="115" zoomScaleNormal="100" zoomScalePageLayoutView="115" workbookViewId="0">
      <selection activeCell="B8" sqref="B8"/>
    </sheetView>
  </sheetViews>
  <sheetFormatPr baseColWidth="10" defaultRowHeight="14.4"/>
  <cols>
    <col min="1" max="1" width="3.6640625" customWidth="1"/>
    <col min="2" max="2" width="23.6640625" customWidth="1"/>
    <col min="3" max="3" width="72.88671875" bestFit="1" customWidth="1"/>
    <col min="4" max="4" width="23" customWidth="1"/>
  </cols>
  <sheetData>
    <row r="1" spans="1:4" ht="23.4">
      <c r="A1" s="17"/>
      <c r="B1" s="67" t="s">
        <v>27</v>
      </c>
      <c r="C1" s="68"/>
      <c r="D1" s="68"/>
    </row>
    <row r="2" spans="1:4">
      <c r="A2" s="17"/>
      <c r="B2" s="17"/>
      <c r="C2" s="17"/>
      <c r="D2" s="17"/>
    </row>
    <row r="3" spans="1:4">
      <c r="A3" s="17"/>
      <c r="B3" s="18" t="s">
        <v>28</v>
      </c>
      <c r="C3" s="18" t="s">
        <v>27</v>
      </c>
      <c r="D3" s="14" t="s">
        <v>40</v>
      </c>
    </row>
    <row r="4" spans="1:4">
      <c r="A4" s="17"/>
      <c r="B4" s="11" t="s">
        <v>145</v>
      </c>
      <c r="C4" s="28" t="s">
        <v>34</v>
      </c>
      <c r="D4" s="49">
        <v>4.0000000000000001E-3</v>
      </c>
    </row>
    <row r="5" spans="1:4">
      <c r="A5" s="17"/>
      <c r="B5" s="11" t="s">
        <v>29</v>
      </c>
      <c r="C5" s="28" t="s">
        <v>35</v>
      </c>
      <c r="D5" s="49">
        <v>5.4999999999999997E-3</v>
      </c>
    </row>
    <row r="6" spans="1:4">
      <c r="A6" s="17"/>
      <c r="B6" s="11" t="s">
        <v>30</v>
      </c>
      <c r="C6" s="28" t="s">
        <v>36</v>
      </c>
      <c r="D6" s="49">
        <v>8.0000000000000002E-3</v>
      </c>
    </row>
    <row r="7" spans="1:4">
      <c r="A7" s="17"/>
      <c r="B7" s="11" t="s">
        <v>31</v>
      </c>
      <c r="C7" s="40" t="s">
        <v>37</v>
      </c>
      <c r="D7" s="50">
        <v>0.02</v>
      </c>
    </row>
    <row r="8" spans="1:4">
      <c r="A8" s="17"/>
      <c r="B8" s="11" t="s">
        <v>32</v>
      </c>
      <c r="C8" s="41" t="s">
        <v>38</v>
      </c>
      <c r="D8" s="50">
        <v>3.7999999999999999E-2</v>
      </c>
    </row>
    <row r="9" spans="1:4">
      <c r="A9" s="17"/>
      <c r="B9" s="11" t="s">
        <v>33</v>
      </c>
      <c r="C9" s="28" t="s">
        <v>39</v>
      </c>
      <c r="D9" s="49">
        <v>6.3E-2</v>
      </c>
    </row>
    <row r="10" spans="1:4">
      <c r="A10" s="17"/>
      <c r="B10" s="17"/>
      <c r="C10" s="17"/>
      <c r="D10" s="16"/>
    </row>
    <row r="11" spans="1:4">
      <c r="A11" s="17"/>
      <c r="B11" s="10"/>
      <c r="C11" s="42" t="s">
        <v>72</v>
      </c>
      <c r="D11" s="43">
        <f>Critères!G32</f>
        <v>8</v>
      </c>
    </row>
    <row r="12" spans="1:4">
      <c r="A12" s="17"/>
      <c r="B12" s="17"/>
      <c r="C12" s="60" t="s">
        <v>40</v>
      </c>
      <c r="D12" s="62">
        <f>IF(D11=0,0,IF(D11=1,D9,IF(D11=2,D9,IF(D11=3,D8,IF(D11=4,D8,IF(D11=5,D7,IF(D11=6,D7,IF(D11=7,D6,IF(D11=8,D6,IF(D11=9,D5,IF(D11=10,D5,D4)))))))))))</f>
        <v>8.0000000000000002E-3</v>
      </c>
    </row>
    <row r="13" spans="1:4">
      <c r="A13" s="17"/>
      <c r="B13" s="17"/>
      <c r="C13" s="17"/>
      <c r="D13" s="17"/>
    </row>
    <row r="14" spans="1:4">
      <c r="A14" s="17"/>
      <c r="B14" s="61" t="s">
        <v>105</v>
      </c>
      <c r="C14" s="61"/>
      <c r="D14" s="61"/>
    </row>
    <row r="15" spans="1:4">
      <c r="A15" s="17"/>
      <c r="B15" s="61" t="s">
        <v>109</v>
      </c>
      <c r="C15" s="61"/>
      <c r="D15" s="61"/>
    </row>
    <row r="16" spans="1:4">
      <c r="A16" s="17"/>
      <c r="B16" s="61" t="s">
        <v>106</v>
      </c>
      <c r="C16" s="61"/>
      <c r="D16" s="61"/>
    </row>
    <row r="20" spans="4:4">
      <c r="D20" t="s">
        <v>41</v>
      </c>
    </row>
    <row r="29" spans="4:4">
      <c r="D29" s="15"/>
    </row>
  </sheetData>
  <sheetProtection password="CB07" sheet="1" objects="1" scenarios="1"/>
  <mergeCells count="1">
    <mergeCell ref="B1:D1"/>
  </mergeCells>
  <pageMargins left="0.7" right="0.7" top="0.65307971014492749" bottom="0.75" header="0.3" footer="0.3"/>
  <pageSetup paperSize="9" scale="70" orientation="landscape" r:id="rId1"/>
  <headerFooter>
    <oddHeader>&amp;L&amp;G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1:L28"/>
  <sheetViews>
    <sheetView view="pageLayout" topLeftCell="C3" zoomScaleNormal="100" workbookViewId="0">
      <selection activeCell="H27" sqref="H27"/>
    </sheetView>
  </sheetViews>
  <sheetFormatPr baseColWidth="10" defaultRowHeight="14.4"/>
  <cols>
    <col min="1" max="1" width="3.33203125" customWidth="1"/>
    <col min="2" max="2" width="11.5546875" customWidth="1"/>
    <col min="3" max="3" width="22.109375" customWidth="1"/>
    <col min="4" max="4" width="12.44140625" customWidth="1"/>
    <col min="5" max="5" width="13.44140625" bestFit="1" customWidth="1"/>
    <col min="6" max="6" width="23.6640625" customWidth="1"/>
    <col min="7" max="7" width="24.88671875" customWidth="1"/>
    <col min="8" max="8" width="31.44140625" bestFit="1" customWidth="1"/>
    <col min="9" max="9" width="29.88671875" bestFit="1" customWidth="1"/>
    <col min="10" max="10" width="19.44140625" customWidth="1"/>
    <col min="11" max="11" width="12.5546875" customWidth="1"/>
    <col min="13" max="13" width="15.109375" customWidth="1"/>
  </cols>
  <sheetData>
    <row r="1" spans="2:12" ht="23.4">
      <c r="B1" s="69" t="s">
        <v>108</v>
      </c>
      <c r="C1" s="70"/>
      <c r="D1" s="70"/>
      <c r="E1" s="70"/>
      <c r="F1" s="70"/>
      <c r="G1" s="70"/>
      <c r="H1" s="70"/>
      <c r="I1" s="70"/>
      <c r="J1" s="70"/>
      <c r="K1" s="70"/>
    </row>
    <row r="3" spans="2:12">
      <c r="C3" s="13" t="s">
        <v>75</v>
      </c>
      <c r="D3" s="13" t="s">
        <v>76</v>
      </c>
      <c r="F3" s="32" t="s">
        <v>82</v>
      </c>
      <c r="G3" s="13" t="s">
        <v>81</v>
      </c>
    </row>
    <row r="4" spans="2:12" ht="16.5" customHeight="1">
      <c r="C4" s="28" t="s">
        <v>74</v>
      </c>
      <c r="D4" s="52">
        <v>300000</v>
      </c>
      <c r="F4" s="30" t="s">
        <v>80</v>
      </c>
      <c r="G4" s="31">
        <f>'qualité du crédit'!D12</f>
        <v>8.0000000000000002E-3</v>
      </c>
    </row>
    <row r="5" spans="2:12" ht="16.5" customHeight="1">
      <c r="C5" s="29" t="s">
        <v>42</v>
      </c>
      <c r="D5" s="53">
        <v>10</v>
      </c>
      <c r="F5" s="17" t="s">
        <v>83</v>
      </c>
      <c r="G5" s="34">
        <f>D4/Tableau1[[#This Row],[Données ]]</f>
        <v>30000</v>
      </c>
    </row>
    <row r="6" spans="2:12" ht="16.5" customHeight="1">
      <c r="C6" s="29" t="s">
        <v>45</v>
      </c>
      <c r="D6" s="54">
        <v>0.03</v>
      </c>
      <c r="F6" s="17" t="s">
        <v>85</v>
      </c>
      <c r="G6" s="34">
        <f>E15/D8</f>
        <v>22500</v>
      </c>
    </row>
    <row r="7" spans="2:12" ht="16.5" customHeight="1">
      <c r="C7" s="29" t="s">
        <v>77</v>
      </c>
      <c r="D7" s="54">
        <v>0.75</v>
      </c>
    </row>
    <row r="8" spans="2:12" ht="16.5" customHeight="1">
      <c r="C8" s="29" t="s">
        <v>43</v>
      </c>
      <c r="D8" s="53">
        <v>10</v>
      </c>
    </row>
    <row r="9" spans="2:12" ht="16.5" customHeight="1">
      <c r="C9" s="29" t="s">
        <v>46</v>
      </c>
      <c r="D9" s="54">
        <v>0.02</v>
      </c>
    </row>
    <row r="10" spans="2:12" ht="16.5" customHeight="1">
      <c r="C10" s="29" t="s">
        <v>86</v>
      </c>
      <c r="D10" s="53">
        <v>0</v>
      </c>
    </row>
    <row r="11" spans="2:12" ht="16.5" customHeight="1">
      <c r="C11" s="33" t="s">
        <v>84</v>
      </c>
      <c r="D11" s="55">
        <v>2.1900000000000001E-3</v>
      </c>
    </row>
    <row r="12" spans="2:12" ht="16.5" customHeight="1"/>
    <row r="14" spans="2:12" ht="42.75" customHeight="1">
      <c r="B14" s="13" t="s">
        <v>44</v>
      </c>
      <c r="C14" s="32" t="s">
        <v>90</v>
      </c>
      <c r="D14" s="32" t="s">
        <v>91</v>
      </c>
      <c r="E14" s="32" t="s">
        <v>92</v>
      </c>
      <c r="F14" s="32" t="s">
        <v>93</v>
      </c>
      <c r="G14" s="32" t="s">
        <v>78</v>
      </c>
      <c r="H14" s="32" t="s">
        <v>79</v>
      </c>
      <c r="I14" s="36" t="s">
        <v>87</v>
      </c>
      <c r="J14" s="36" t="s">
        <v>88</v>
      </c>
      <c r="K14" s="36" t="s">
        <v>89</v>
      </c>
    </row>
    <row r="15" spans="2:12">
      <c r="B15" s="13">
        <v>0</v>
      </c>
      <c r="C15" s="35">
        <f t="shared" ref="C15:C25" si="0">IF(C14&lt;0.1,,$D$4-($G$5*B15))</f>
        <v>300000</v>
      </c>
      <c r="D15" s="35">
        <f t="shared" ref="D15:D25" si="1">IF(D14&lt;0.1,,C15*$D$6)</f>
        <v>9000</v>
      </c>
      <c r="E15" s="35">
        <f>D4*D7</f>
        <v>225000</v>
      </c>
      <c r="F15" s="35">
        <f>D15*(E15/C15)</f>
        <v>6750</v>
      </c>
      <c r="G15" s="35">
        <f t="shared" ref="G15:G25" si="2">IF(E15&lt;0.1,,(C15*$D$9)*(E15/C15))</f>
        <v>4500</v>
      </c>
      <c r="H15" s="35">
        <f t="shared" ref="H15:H25" si="3">IF(E15&lt;0.1,,($D$10/$D$5)*(E15/C15))</f>
        <v>0</v>
      </c>
      <c r="I15" s="35">
        <f t="shared" ref="I15:I25" si="4">E15+F15+G15+H15</f>
        <v>236250</v>
      </c>
      <c r="J15" s="35">
        <f>I15*$G$4</f>
        <v>1890</v>
      </c>
      <c r="K15" s="35">
        <f t="shared" ref="K15:K25" si="5">J15*(1+$D$11)^B15</f>
        <v>1890</v>
      </c>
      <c r="L15" s="1"/>
    </row>
    <row r="16" spans="2:12">
      <c r="B16" s="13">
        <v>1</v>
      </c>
      <c r="C16" s="35">
        <f t="shared" si="0"/>
        <v>270000</v>
      </c>
      <c r="D16" s="35">
        <f t="shared" si="1"/>
        <v>8100</v>
      </c>
      <c r="E16" s="35">
        <f>IF(E15&lt;=0.1,,E15-$G$6)</f>
        <v>202500</v>
      </c>
      <c r="F16" s="35">
        <f t="shared" ref="F16:F25" si="6">IF(E16&lt;0.1,,D16*(E16/C16))</f>
        <v>6075</v>
      </c>
      <c r="G16" s="35">
        <f t="shared" si="2"/>
        <v>4050</v>
      </c>
      <c r="H16" s="35">
        <f t="shared" si="3"/>
        <v>0</v>
      </c>
      <c r="I16" s="35">
        <f t="shared" si="4"/>
        <v>212625</v>
      </c>
      <c r="J16" s="35">
        <f t="shared" ref="J16:J25" si="7">I16*$G$4</f>
        <v>1701</v>
      </c>
      <c r="K16" s="35">
        <f t="shared" si="5"/>
        <v>1704.7251899999999</v>
      </c>
      <c r="L16" s="1"/>
    </row>
    <row r="17" spans="2:12">
      <c r="B17" s="13">
        <v>2</v>
      </c>
      <c r="C17" s="35">
        <f t="shared" si="0"/>
        <v>240000</v>
      </c>
      <c r="D17" s="35">
        <f t="shared" si="1"/>
        <v>7200</v>
      </c>
      <c r="E17" s="35">
        <f t="shared" ref="E17:E25" si="8">IF(E16&lt;=0.1,,E16-$G$6)</f>
        <v>180000</v>
      </c>
      <c r="F17" s="35">
        <f t="shared" si="6"/>
        <v>5400</v>
      </c>
      <c r="G17" s="35">
        <f t="shared" si="2"/>
        <v>3600</v>
      </c>
      <c r="H17" s="35">
        <f t="shared" si="3"/>
        <v>0</v>
      </c>
      <c r="I17" s="35">
        <f t="shared" si="4"/>
        <v>189000</v>
      </c>
      <c r="J17" s="35">
        <f t="shared" si="7"/>
        <v>1512</v>
      </c>
      <c r="K17" s="35">
        <f t="shared" si="5"/>
        <v>1518.6298117031997</v>
      </c>
      <c r="L17" s="1"/>
    </row>
    <row r="18" spans="2:12">
      <c r="B18" s="13">
        <v>3</v>
      </c>
      <c r="C18" s="35">
        <f t="shared" si="0"/>
        <v>210000</v>
      </c>
      <c r="D18" s="35">
        <f t="shared" si="1"/>
        <v>6300</v>
      </c>
      <c r="E18" s="35">
        <f t="shared" si="8"/>
        <v>157500</v>
      </c>
      <c r="F18" s="35">
        <f t="shared" si="6"/>
        <v>4725</v>
      </c>
      <c r="G18" s="35">
        <f t="shared" si="2"/>
        <v>3150</v>
      </c>
      <c r="H18" s="35">
        <f t="shared" si="3"/>
        <v>0</v>
      </c>
      <c r="I18" s="35">
        <f t="shared" si="4"/>
        <v>165375</v>
      </c>
      <c r="J18" s="35">
        <f t="shared" si="7"/>
        <v>1323</v>
      </c>
      <c r="K18" s="35">
        <f t="shared" si="5"/>
        <v>1331.7111596169761</v>
      </c>
      <c r="L18" s="1"/>
    </row>
    <row r="19" spans="2:12">
      <c r="B19" s="13">
        <v>4</v>
      </c>
      <c r="C19" s="35">
        <f t="shared" si="0"/>
        <v>180000</v>
      </c>
      <c r="D19" s="35">
        <f t="shared" si="1"/>
        <v>5400</v>
      </c>
      <c r="E19" s="35">
        <f t="shared" si="8"/>
        <v>135000</v>
      </c>
      <c r="F19" s="35">
        <f t="shared" si="6"/>
        <v>4050</v>
      </c>
      <c r="G19" s="35">
        <f t="shared" si="2"/>
        <v>2700</v>
      </c>
      <c r="H19" s="35">
        <f t="shared" si="3"/>
        <v>0</v>
      </c>
      <c r="I19" s="35">
        <f t="shared" si="4"/>
        <v>141750</v>
      </c>
      <c r="J19" s="35">
        <f t="shared" si="7"/>
        <v>1134</v>
      </c>
      <c r="K19" s="35">
        <f t="shared" si="5"/>
        <v>1143.9665203341747</v>
      </c>
      <c r="L19" s="1"/>
    </row>
    <row r="20" spans="2:12">
      <c r="B20" s="13">
        <v>5</v>
      </c>
      <c r="C20" s="35">
        <f t="shared" si="0"/>
        <v>150000</v>
      </c>
      <c r="D20" s="35">
        <f t="shared" si="1"/>
        <v>4500</v>
      </c>
      <c r="E20" s="35">
        <f t="shared" si="8"/>
        <v>112500</v>
      </c>
      <c r="F20" s="35">
        <f t="shared" si="6"/>
        <v>3375</v>
      </c>
      <c r="G20" s="35">
        <f t="shared" si="2"/>
        <v>2250</v>
      </c>
      <c r="H20" s="35">
        <f t="shared" si="3"/>
        <v>0</v>
      </c>
      <c r="I20" s="35">
        <f t="shared" si="4"/>
        <v>118125</v>
      </c>
      <c r="J20" s="35">
        <f t="shared" si="7"/>
        <v>945</v>
      </c>
      <c r="K20" s="35">
        <f t="shared" si="5"/>
        <v>955.39317251142199</v>
      </c>
      <c r="L20" s="1"/>
    </row>
    <row r="21" spans="2:12">
      <c r="B21" s="13">
        <v>6</v>
      </c>
      <c r="C21" s="35">
        <f t="shared" si="0"/>
        <v>120000</v>
      </c>
      <c r="D21" s="35">
        <f t="shared" si="1"/>
        <v>3600</v>
      </c>
      <c r="E21" s="35">
        <f t="shared" si="8"/>
        <v>90000</v>
      </c>
      <c r="F21" s="35">
        <f t="shared" si="6"/>
        <v>2700</v>
      </c>
      <c r="G21" s="35">
        <f t="shared" si="2"/>
        <v>1800</v>
      </c>
      <c r="H21" s="35">
        <f t="shared" si="3"/>
        <v>0</v>
      </c>
      <c r="I21" s="35">
        <f t="shared" si="4"/>
        <v>94500</v>
      </c>
      <c r="J21" s="35">
        <f t="shared" si="7"/>
        <v>756</v>
      </c>
      <c r="K21" s="35">
        <f t="shared" si="5"/>
        <v>765.98838684737757</v>
      </c>
      <c r="L21" s="1"/>
    </row>
    <row r="22" spans="2:12">
      <c r="B22" s="13">
        <v>7</v>
      </c>
      <c r="C22" s="35">
        <f t="shared" si="0"/>
        <v>90000</v>
      </c>
      <c r="D22" s="35">
        <f t="shared" si="1"/>
        <v>2700</v>
      </c>
      <c r="E22" s="35">
        <f t="shared" si="8"/>
        <v>67500</v>
      </c>
      <c r="F22" s="35">
        <f t="shared" si="6"/>
        <v>2025</v>
      </c>
      <c r="G22" s="35">
        <f t="shared" si="2"/>
        <v>1350</v>
      </c>
      <c r="H22" s="35">
        <f t="shared" si="3"/>
        <v>0</v>
      </c>
      <c r="I22" s="35">
        <f t="shared" si="4"/>
        <v>70875</v>
      </c>
      <c r="J22" s="35">
        <f t="shared" si="7"/>
        <v>567</v>
      </c>
      <c r="K22" s="35">
        <f t="shared" si="5"/>
        <v>575.74942606092998</v>
      </c>
      <c r="L22" s="1"/>
    </row>
    <row r="23" spans="2:12">
      <c r="B23" s="13">
        <v>8</v>
      </c>
      <c r="C23" s="35">
        <f t="shared" si="0"/>
        <v>60000</v>
      </c>
      <c r="D23" s="35">
        <f t="shared" si="1"/>
        <v>1800</v>
      </c>
      <c r="E23" s="35">
        <f t="shared" si="8"/>
        <v>45000</v>
      </c>
      <c r="F23" s="35">
        <f t="shared" si="6"/>
        <v>1350</v>
      </c>
      <c r="G23" s="35">
        <f t="shared" si="2"/>
        <v>900</v>
      </c>
      <c r="H23" s="35">
        <f t="shared" si="3"/>
        <v>0</v>
      </c>
      <c r="I23" s="35">
        <f t="shared" si="4"/>
        <v>47250</v>
      </c>
      <c r="J23" s="35">
        <f t="shared" si="7"/>
        <v>378</v>
      </c>
      <c r="K23" s="35">
        <f t="shared" si="5"/>
        <v>384.67354486933556</v>
      </c>
      <c r="L23" s="1"/>
    </row>
    <row r="24" spans="2:12">
      <c r="B24" s="13">
        <v>9</v>
      </c>
      <c r="C24" s="35">
        <f t="shared" si="0"/>
        <v>30000</v>
      </c>
      <c r="D24" s="35">
        <f t="shared" si="1"/>
        <v>900</v>
      </c>
      <c r="E24" s="35">
        <f t="shared" si="8"/>
        <v>22500</v>
      </c>
      <c r="F24" s="35">
        <f t="shared" si="6"/>
        <v>675</v>
      </c>
      <c r="G24" s="35">
        <f t="shared" si="2"/>
        <v>450</v>
      </c>
      <c r="H24" s="35">
        <f t="shared" si="3"/>
        <v>0</v>
      </c>
      <c r="I24" s="35">
        <f t="shared" si="4"/>
        <v>23625</v>
      </c>
      <c r="J24" s="35">
        <f t="shared" si="7"/>
        <v>189</v>
      </c>
      <c r="K24" s="35">
        <f t="shared" si="5"/>
        <v>192.75798996629968</v>
      </c>
      <c r="L24" s="1"/>
    </row>
    <row r="25" spans="2:12">
      <c r="B25" s="13">
        <v>10</v>
      </c>
      <c r="C25" s="35">
        <f t="shared" si="0"/>
        <v>0</v>
      </c>
      <c r="D25" s="35">
        <f t="shared" si="1"/>
        <v>0</v>
      </c>
      <c r="E25" s="35">
        <f t="shared" si="8"/>
        <v>0</v>
      </c>
      <c r="F25" s="35">
        <f t="shared" si="6"/>
        <v>0</v>
      </c>
      <c r="G25" s="35">
        <f t="shared" si="2"/>
        <v>0</v>
      </c>
      <c r="H25" s="35">
        <f t="shared" si="3"/>
        <v>0</v>
      </c>
      <c r="I25" s="35">
        <f t="shared" si="4"/>
        <v>0</v>
      </c>
      <c r="J25" s="35">
        <f t="shared" si="7"/>
        <v>0</v>
      </c>
      <c r="K25" s="35">
        <f t="shared" si="5"/>
        <v>0</v>
      </c>
      <c r="L25" s="1"/>
    </row>
    <row r="26" spans="2:12">
      <c r="J26" s="37" t="s">
        <v>58</v>
      </c>
      <c r="K26" s="38">
        <f>SUM(K15:K25)</f>
        <v>10463.595201909715</v>
      </c>
    </row>
    <row r="27" spans="2:12">
      <c r="J27" s="37" t="s">
        <v>147</v>
      </c>
      <c r="K27" s="39">
        <f>K26/D4</f>
        <v>3.4878650673032384E-2</v>
      </c>
    </row>
    <row r="28" spans="2:12">
      <c r="J28" t="s">
        <v>148</v>
      </c>
      <c r="K28" s="63">
        <f>K26/E15</f>
        <v>4.6504867564043179E-2</v>
      </c>
    </row>
  </sheetData>
  <mergeCells count="1">
    <mergeCell ref="B1:K1"/>
  </mergeCells>
  <pageMargins left="0.70866141732283472" right="0.70866141732283472" top="0.53374999999999995" bottom="0.74803149606299213" header="0.31496062992125984" footer="0.31496062992125984"/>
  <pageSetup paperSize="9" scale="42" orientation="portrait" r:id="rId1"/>
  <headerFooter>
    <oddHeader>&amp;L&amp;G</oddHeader>
  </headerFooter>
  <legacyDrawingHF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C3:H26"/>
  <sheetViews>
    <sheetView workbookViewId="0">
      <selection activeCell="E26" sqref="E26"/>
    </sheetView>
  </sheetViews>
  <sheetFormatPr baseColWidth="10" defaultRowHeight="14.4"/>
  <cols>
    <col min="3" max="3" width="51.109375" bestFit="1" customWidth="1"/>
  </cols>
  <sheetData>
    <row r="3" spans="3:8">
      <c r="C3" s="9" t="s">
        <v>47</v>
      </c>
    </row>
    <row r="4" spans="3:8">
      <c r="C4" s="2">
        <v>42076</v>
      </c>
    </row>
    <row r="7" spans="3:8" ht="15" thickBot="1">
      <c r="C7" s="3"/>
      <c r="D7" s="4">
        <v>42311</v>
      </c>
      <c r="E7" s="4">
        <v>42280</v>
      </c>
      <c r="F7" s="4">
        <v>42250</v>
      </c>
      <c r="G7" s="4">
        <v>42158</v>
      </c>
      <c r="H7" s="5">
        <v>42127</v>
      </c>
    </row>
    <row r="8" spans="3:8" ht="15" thickBot="1">
      <c r="C8" s="6" t="s">
        <v>48</v>
      </c>
      <c r="D8" s="7">
        <v>-4.4000000000000002E-4</v>
      </c>
      <c r="E8" s="7">
        <v>-4.4000000000000002E-4</v>
      </c>
      <c r="F8" s="7">
        <v>-4.2000000000000002E-4</v>
      </c>
      <c r="G8" s="7">
        <v>-4.2000000000000002E-4</v>
      </c>
      <c r="H8" s="8">
        <v>-4.2000000000000002E-4</v>
      </c>
    </row>
    <row r="9" spans="3:8" ht="15" thickBot="1">
      <c r="C9" s="6" t="s">
        <v>49</v>
      </c>
      <c r="D9" s="7">
        <v>-3.8000000000000002E-4</v>
      </c>
      <c r="E9" s="7">
        <v>-3.5E-4</v>
      </c>
      <c r="F9" s="7">
        <v>-3.3E-4</v>
      </c>
      <c r="G9" s="7">
        <v>-3.2000000000000003E-4</v>
      </c>
      <c r="H9" s="8">
        <v>-3.2000000000000003E-4</v>
      </c>
    </row>
    <row r="10" spans="3:8" ht="15" thickBot="1">
      <c r="C10" s="6" t="s">
        <v>50</v>
      </c>
      <c r="D10" s="7">
        <v>-1.1E-4</v>
      </c>
      <c r="E10" s="7">
        <v>-9.0000000000000006E-5</v>
      </c>
      <c r="F10" s="7">
        <v>-8.0000000000000007E-5</v>
      </c>
      <c r="G10" s="7">
        <v>-8.0000000000000007E-5</v>
      </c>
      <c r="H10" s="8">
        <v>-6.9999999999999994E-5</v>
      </c>
    </row>
    <row r="11" spans="3:8" ht="15" thickBot="1">
      <c r="C11" s="6" t="s">
        <v>51</v>
      </c>
      <c r="D11" s="7">
        <v>9.0000000000000006E-5</v>
      </c>
      <c r="E11" s="7">
        <v>1.2E-4</v>
      </c>
      <c r="F11" s="7">
        <v>1.3999999999999999E-4</v>
      </c>
      <c r="G11" s="7">
        <v>1.4999999999999999E-4</v>
      </c>
      <c r="H11" s="8">
        <v>1.6000000000000001E-4</v>
      </c>
    </row>
    <row r="12" spans="3:8" ht="15" thickBot="1">
      <c r="C12" s="6" t="s">
        <v>52</v>
      </c>
      <c r="D12" s="7">
        <v>2.9E-4</v>
      </c>
      <c r="E12" s="7">
        <v>3.2000000000000003E-4</v>
      </c>
      <c r="F12" s="7">
        <v>3.5E-4</v>
      </c>
      <c r="G12" s="7">
        <v>3.6000000000000002E-4</v>
      </c>
      <c r="H12" s="8">
        <v>3.6000000000000002E-4</v>
      </c>
    </row>
    <row r="13" spans="3:8" ht="15" thickBot="1">
      <c r="C13" s="6" t="s">
        <v>53</v>
      </c>
      <c r="D13" s="7">
        <v>9.8999999999999999E-4</v>
      </c>
      <c r="E13" s="7">
        <v>1.0200000000000001E-3</v>
      </c>
      <c r="F13" s="7">
        <v>1.0499999999999999E-3</v>
      </c>
      <c r="G13" s="7">
        <v>1.07E-3</v>
      </c>
      <c r="H13" s="8">
        <v>1.08E-3</v>
      </c>
    </row>
    <row r="14" spans="3:8" ht="15" thickBot="1">
      <c r="C14" s="6" t="s">
        <v>54</v>
      </c>
      <c r="D14" s="7">
        <v>1.49E-3</v>
      </c>
      <c r="E14" s="7">
        <v>1.5200000000000001E-3</v>
      </c>
      <c r="F14" s="7">
        <v>1.5499999999999999E-3</v>
      </c>
      <c r="G14" s="7">
        <v>1.58E-3</v>
      </c>
      <c r="H14" s="8">
        <v>1.58E-3</v>
      </c>
    </row>
    <row r="15" spans="3:8" ht="15" thickBot="1">
      <c r="C15" s="6" t="s">
        <v>55</v>
      </c>
      <c r="D15" s="7">
        <v>2.1700000000000001E-3</v>
      </c>
      <c r="E15" s="7">
        <v>2.1900000000000001E-3</v>
      </c>
      <c r="F15" s="7">
        <v>2.2200000000000002E-3</v>
      </c>
      <c r="G15" s="7">
        <v>2.2499999999999998E-3</v>
      </c>
      <c r="H15" s="8">
        <v>2.2599999999999999E-3</v>
      </c>
    </row>
    <row r="18" spans="3:8" ht="15" thickBot="1">
      <c r="C18" s="3"/>
      <c r="D18" s="4">
        <v>42166</v>
      </c>
      <c r="E18" s="4">
        <v>42135</v>
      </c>
      <c r="F18" s="4">
        <v>42105</v>
      </c>
      <c r="G18" s="4">
        <v>42074</v>
      </c>
      <c r="H18" s="5">
        <v>42046</v>
      </c>
    </row>
    <row r="19" spans="3:8" ht="15" thickBot="1">
      <c r="C19" s="46" t="s">
        <v>48</v>
      </c>
      <c r="D19" s="47" t="s">
        <v>111</v>
      </c>
      <c r="E19" s="47" t="s">
        <v>112</v>
      </c>
      <c r="F19" s="47" t="s">
        <v>113</v>
      </c>
      <c r="G19" s="47" t="s">
        <v>114</v>
      </c>
      <c r="H19" s="48" t="s">
        <v>115</v>
      </c>
    </row>
    <row r="20" spans="3:8" ht="15" thickBot="1">
      <c r="C20" s="46" t="s">
        <v>49</v>
      </c>
      <c r="D20" s="47" t="s">
        <v>114</v>
      </c>
      <c r="E20" s="47" t="s">
        <v>113</v>
      </c>
      <c r="F20" s="47" t="s">
        <v>113</v>
      </c>
      <c r="G20" s="47" t="s">
        <v>115</v>
      </c>
      <c r="H20" s="48" t="s">
        <v>115</v>
      </c>
    </row>
    <row r="21" spans="3:8" ht="15" thickBot="1">
      <c r="C21" s="46" t="s">
        <v>50</v>
      </c>
      <c r="D21" s="47" t="s">
        <v>116</v>
      </c>
      <c r="E21" s="47" t="s">
        <v>117</v>
      </c>
      <c r="F21" s="47" t="s">
        <v>118</v>
      </c>
      <c r="G21" s="47" t="s">
        <v>119</v>
      </c>
      <c r="H21" s="48" t="s">
        <v>120</v>
      </c>
    </row>
    <row r="22" spans="3:8" ht="15" thickBot="1">
      <c r="C22" s="46" t="s">
        <v>51</v>
      </c>
      <c r="D22" s="47" t="s">
        <v>121</v>
      </c>
      <c r="E22" s="47" t="s">
        <v>122</v>
      </c>
      <c r="F22" s="47" t="s">
        <v>123</v>
      </c>
      <c r="G22" s="47" t="s">
        <v>124</v>
      </c>
      <c r="H22" s="48" t="s">
        <v>125</v>
      </c>
    </row>
    <row r="23" spans="3:8" ht="15" thickBot="1">
      <c r="C23" s="46" t="s">
        <v>52</v>
      </c>
      <c r="D23" s="47" t="s">
        <v>126</v>
      </c>
      <c r="E23" s="47" t="s">
        <v>127</v>
      </c>
      <c r="F23" s="47" t="s">
        <v>128</v>
      </c>
      <c r="G23" s="47" t="s">
        <v>128</v>
      </c>
      <c r="H23" s="48" t="s">
        <v>129</v>
      </c>
    </row>
    <row r="24" spans="3:8" ht="15" thickBot="1">
      <c r="C24" s="46" t="s">
        <v>53</v>
      </c>
      <c r="D24" s="47" t="s">
        <v>130</v>
      </c>
      <c r="E24" s="47" t="s">
        <v>131</v>
      </c>
      <c r="F24" s="47" t="s">
        <v>132</v>
      </c>
      <c r="G24" s="47" t="s">
        <v>133</v>
      </c>
      <c r="H24" s="48" t="s">
        <v>134</v>
      </c>
    </row>
    <row r="25" spans="3:8" ht="15" thickBot="1">
      <c r="C25" s="46" t="s">
        <v>54</v>
      </c>
      <c r="D25" s="47" t="s">
        <v>135</v>
      </c>
      <c r="E25" s="47" t="s">
        <v>136</v>
      </c>
      <c r="F25" s="47" t="s">
        <v>137</v>
      </c>
      <c r="G25" s="47" t="s">
        <v>138</v>
      </c>
      <c r="H25" s="48" t="s">
        <v>139</v>
      </c>
    </row>
    <row r="26" spans="3:8" ht="15" thickBot="1">
      <c r="C26" s="46" t="s">
        <v>55</v>
      </c>
      <c r="D26" s="47" t="s">
        <v>140</v>
      </c>
      <c r="E26" s="47" t="s">
        <v>141</v>
      </c>
      <c r="F26" s="47" t="s">
        <v>142</v>
      </c>
      <c r="G26" s="47" t="s">
        <v>143</v>
      </c>
      <c r="H26" s="48" t="s">
        <v>144</v>
      </c>
    </row>
  </sheetData>
  <sheetProtection password="CB07" sheet="1" objects="1" scenarios="1"/>
  <hyperlinks>
    <hyperlink ref="C8" r:id="rId1" display="http://www.euribor-rates.eu/euribor-rate-1-week.asp"/>
    <hyperlink ref="C9" r:id="rId2" display="http://www.euribor-rates.eu/euribor-rate-2-weeks.asp"/>
    <hyperlink ref="C10" r:id="rId3" display="http://www.euribor-rates.eu/euribor-rate-1-month.asp"/>
    <hyperlink ref="C11" r:id="rId4" display="http://www.euribor-rates.eu/euribor-rate-2-months.asp"/>
    <hyperlink ref="C12" r:id="rId5" display="http://www.euribor-rates.eu/euribor-rate-3-months.asp"/>
    <hyperlink ref="C13" r:id="rId6" display="http://www.euribor-rates.eu/euribor-rate-6-months.asp"/>
    <hyperlink ref="C14" r:id="rId7" display="http://www.euribor-rates.eu/euribor-rate-9-months.asp"/>
    <hyperlink ref="C15" r:id="rId8" display="http://www.euribor-rates.eu/euribor-rate-12-months.asp"/>
    <hyperlink ref="C3" r:id="rId9"/>
    <hyperlink ref="C19" r:id="rId10" display="http://www.euribor-rates.eu/euribor-rate-1-week.asp"/>
    <hyperlink ref="C20" r:id="rId11" display="http://www.euribor-rates.eu/euribor-rate-2-weeks.asp"/>
    <hyperlink ref="C21" r:id="rId12" display="http://www.euribor-rates.eu/euribor-rate-1-month.asp"/>
    <hyperlink ref="C22" r:id="rId13" display="http://www.euribor-rates.eu/euribor-rate-2-months.asp"/>
    <hyperlink ref="C23" r:id="rId14" display="http://www.euribor-rates.eu/euribor-rate-3-months.asp"/>
    <hyperlink ref="C24" r:id="rId15" display="http://www.euribor-rates.eu/euribor-rate-6-months.asp"/>
    <hyperlink ref="C25" r:id="rId16" display="http://www.euribor-rates.eu/euribor-rate-9-months.asp"/>
    <hyperlink ref="C26" r:id="rId17" display="http://www.euribor-rates.eu/euribor-rate-12-months.asp"/>
  </hyperlinks>
  <pageMargins left="0.7" right="0.7" top="0.75" bottom="0.75" header="0.3" footer="0.3"/>
  <pageSetup paperSize="9" orientation="portrait" r:id="rId18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M28" sqref="M28"/>
    </sheetView>
  </sheetViews>
  <sheetFormatPr baseColWidth="10" defaultRowHeight="14.4"/>
  <sheetData>
    <row r="1" spans="1:11">
      <c r="A1" t="s">
        <v>59</v>
      </c>
      <c r="B1" s="9" t="s">
        <v>60</v>
      </c>
      <c r="K1" s="9" t="s">
        <v>61</v>
      </c>
    </row>
  </sheetData>
  <sheetProtection password="CB07" sheet="1" objects="1" scenarios="1"/>
  <hyperlinks>
    <hyperlink ref="B1" r:id="rId1"/>
    <hyperlink ref="K1" r:id="rId2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4" sqref="F44"/>
    </sheetView>
  </sheetViews>
  <sheetFormatPr baseColWidth="10" defaultRowHeight="14.4"/>
  <sheetData/>
  <sheetProtection password="CB07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Critères</vt:lpstr>
      <vt:lpstr>qualité du crédit</vt:lpstr>
      <vt:lpstr>ESB </vt:lpstr>
      <vt:lpstr>euribor</vt:lpstr>
      <vt:lpstr>intérêts légaux</vt:lpstr>
      <vt:lpstr>AM art 27 et suiv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111249</dc:creator>
  <cp:lastModifiedBy>111249</cp:lastModifiedBy>
  <cp:lastPrinted>2015-11-30T13:45:07Z</cp:lastPrinted>
  <dcterms:created xsi:type="dcterms:W3CDTF">2015-09-18T09:09:51Z</dcterms:created>
  <dcterms:modified xsi:type="dcterms:W3CDTF">2019-03-22T10:45:10Z</dcterms:modified>
</cp:coreProperties>
</file>