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activeX/activeX5.xml" ContentType="application/vnd.ms-office.activeX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5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15330" windowHeight="4740" tabRatio="793"/>
  </bookViews>
  <sheets>
    <sheet name="Budget" sheetId="1" r:id="rId1"/>
    <sheet name="Valeurs" sheetId="2" state="hidden" r:id="rId2"/>
    <sheet name="R.Technique" sheetId="3" state="hidden" r:id="rId3"/>
    <sheet name="Fich.Structure" sheetId="4" state="hidden" r:id="rId4"/>
    <sheet name="Données à transférer" sheetId="5" state="hidden" r:id="rId5"/>
    <sheet name="Relevé Factures" sheetId="6" state="hidden" r:id="rId6"/>
    <sheet name="Feuil1" sheetId="7" r:id="rId7"/>
  </sheets>
  <externalReferences>
    <externalReference r:id="rId8"/>
  </externalReferences>
  <definedNames>
    <definedName name="\0">#N/A</definedName>
    <definedName name="\a">#REF!</definedName>
    <definedName name="\b">#N/A</definedName>
    <definedName name="\c">#REF!</definedName>
    <definedName name="\d">#N/A</definedName>
    <definedName name="\e">#N/A</definedName>
    <definedName name="\f">#N/A</definedName>
    <definedName name="\h">#N/A</definedName>
    <definedName name="\i">#REF!</definedName>
    <definedName name="\j">#N/A</definedName>
    <definedName name="\m">#N/A</definedName>
    <definedName name="\o">#N/A</definedName>
    <definedName name="\p">#REF!</definedName>
    <definedName name="\r">#REF!</definedName>
    <definedName name="\s">#N/A</definedName>
    <definedName name="\t">#N/A</definedName>
    <definedName name="\x">#N/A</definedName>
    <definedName name="\y">#N/A</definedName>
    <definedName name="_Fill" hidden="1">#REF!</definedName>
    <definedName name="_Regression_Int" localSheetId="5" hidden="1">1</definedName>
    <definedName name="_Sort" hidden="1">'Relevé Factures'!#REF!</definedName>
    <definedName name="ALIMENTATION">Valeurs!$O$100:$S$100</definedName>
    <definedName name="ANNEE">Valeurs!$128:$157</definedName>
    <definedName name="AVIS">'Données à transférer'!$G$14:$G$15</definedName>
    <definedName name="BETAIL">Budget!$B$358</definedName>
    <definedName name="BUDG_AN_BUDGET">Budget!$J$17</definedName>
    <definedName name="BUDG_ANNEE_DEB">Budget!$J$10</definedName>
    <definedName name="BUDG_ANNEE_FIN">Budget!$J$11</definedName>
    <definedName name="BUDG_AUTRES_AP">Budget!$G$896</definedName>
    <definedName name="BUDG_AUTRES_AV">Budget!$B$896</definedName>
    <definedName name="BUDG_BOVIN_OVIN_AP">Budget!$G$894</definedName>
    <definedName name="BUDG_BOVIN_OVIN_AV">Budget!$B$894</definedName>
    <definedName name="BUDG_CULT_COM_AP">Budget!$G$890</definedName>
    <definedName name="BUDG_CULT_COM_AV">Budget!$B$890</definedName>
    <definedName name="BUDG_CULT_FOUR_AP">Budget!$G$891</definedName>
    <definedName name="BUDG_CULT_FOUR_AV">Budget!$B$891</definedName>
    <definedName name="BUDG_CULT_HORT_AP">Budget!$G$892</definedName>
    <definedName name="BUDG_CULT_HORT_AV">Budget!$B$892</definedName>
    <definedName name="BUDG_PROD_PORC_AP">Budget!$G$895</definedName>
    <definedName name="BUDG_PROD_PORC_AV">Budget!$B$895</definedName>
    <definedName name="BUDG_REV_ACCES_AP">Budget!$G$923</definedName>
    <definedName name="BUDG_REV_ACCES_AV">Budget!$B$923</definedName>
    <definedName name="BUDG_REV_COMP_AP">Budget!$G$922</definedName>
    <definedName name="BUDG_REV_COMP_AV">Budget!$B$922</definedName>
    <definedName name="BUDG_REV_EXPL_AP">Budget!$G$921</definedName>
    <definedName name="BUDG_REV_EXPL_AV">Budget!$B$921</definedName>
    <definedName name="BUDG_REV_REF_AP">Budget!$G$927</definedName>
    <definedName name="BUDG_REV_REF_AV">Budget!$B$927</definedName>
    <definedName name="BUDG_UTH_AP">Budget!$G$925</definedName>
    <definedName name="BUDG_UTH_AV">Budget!$B$925</definedName>
    <definedName name="BUDG_V_PRD_LAIT_AP">Budget!$G$893</definedName>
    <definedName name="BUDG_V_PRD_LAIT_AV">Budget!$B$893</definedName>
    <definedName name="but_inves">R.Technique!$N$110:$O$119</definedName>
    <definedName name="CHARGES">Budget!$B$784</definedName>
    <definedName name="code_ote">R.Technique!$N$49:$O$143</definedName>
    <definedName name="_xlnm.Criteria">'Relevé Factures'!$M$27:$S$28</definedName>
    <definedName name="Critères_MI">'Relevé Factures'!$M$27:$S$28</definedName>
    <definedName name="DATGEN">Budget!$J$7</definedName>
    <definedName name="DATJ">Budget!$G$1014</definedName>
    <definedName name="DOSDGA">Budget!$J$4</definedName>
    <definedName name="DOSDL">Budget!$J$6</definedName>
    <definedName name="DOSFIA">Budget!$J$3</definedName>
    <definedName name="DOSSE">Budget!$J$5</definedName>
    <definedName name="ENTREPRISE">Valeurs!$K$11:$P$13</definedName>
    <definedName name="Extraction_MI">'Relevé Factures'!$M$29:$S$29</definedName>
    <definedName name="_xlnm.Extract">'Relevé Factures'!$M$29:$S$29</definedName>
    <definedName name="favdef">R.Technique!$N$13:$N$14</definedName>
    <definedName name="Froment">Budget!$A$25</definedName>
    <definedName name="HEURES_BOVINS">Valeurs!$T$100:$X$100</definedName>
    <definedName name="INGLOC">Budget!$N$5</definedName>
    <definedName name="INGNOM">Budget!$N$6</definedName>
    <definedName name="INGTIT">Budget!$N$7</definedName>
    <definedName name="MATERIEL">Budget!$B$834:$C$835</definedName>
    <definedName name="NODOS">'Données à transférer'!$C$4</definedName>
    <definedName name="ouinon">'Données à transférer'!$G$6:$G$7</definedName>
    <definedName name="OUINON_RT">R.Technique!$N$10:$N$11</definedName>
    <definedName name="ouinonstr">[1]ref!$E$20:$E$21</definedName>
    <definedName name="Pam">R.Technique!$N$121:$N$122</definedName>
    <definedName name="QUOTAS">Budget!$A$112</definedName>
    <definedName name="RAPT_AVIS_TEC">R.Technique!$D$118</definedName>
    <definedName name="RAPT_DAT_PERM_EXP">R.Technique!$J$70</definedName>
    <definedName name="RAPT_DATE_PERM_BAT">R.Technique!$J$69</definedName>
    <definedName name="RAPT_DATE_RAPPORT">R.Technique!$K$155</definedName>
    <definedName name="RAPT_EXPL_LOCB_AP">R.Technique!$H$56</definedName>
    <definedName name="RAPT_EXPL_LOCB_AV">R.Technique!$E$56</definedName>
    <definedName name="RAPT_EXPL_LOCC_AP">R.Technique!$H$57</definedName>
    <definedName name="RAPT_EXPL_LOCC_AV">R.Technique!$E$57</definedName>
    <definedName name="RAPT_EXPL_PROP_AP">R.Technique!$H$54</definedName>
    <definedName name="RAPT_EXPL_PROP_AV">R.Technique!$E$54</definedName>
    <definedName name="RAPT_ORDRRE_SANIT">R.Technique!$D$75</definedName>
    <definedName name="RAPT_PERMIS_BATIR">R.Technique!$C$69</definedName>
    <definedName name="RAPT_PROD_LAIT_DEB">R.Technique!$F$77</definedName>
    <definedName name="RAPT_PROD_LAIT_FIN">R.Technique!$F$78</definedName>
    <definedName name="RAPT_PROP_EXPAN">R.Technique!$D$52</definedName>
    <definedName name="RAPT_QUOTA_FIN">R.Technique!$F$79</definedName>
    <definedName name="RAPT_REF_PERM_BAT">R.Technique!$E$69</definedName>
    <definedName name="RAPT_REF_PERM_EXP">R.Technique!$E$70</definedName>
    <definedName name="RAPT_REMARQUE">R.Technique!$B$120</definedName>
    <definedName name="RAPT_SERRES_AP">R.Technique!$H$60</definedName>
    <definedName name="RAPT_SERRES_AV">R.Technique!$E$60</definedName>
    <definedName name="RAPT_SIEGE_EXPLOIT">R.Technique!$J$52</definedName>
    <definedName name="RAPT_STATUS_PORCS">R.Technique!$H$76</definedName>
    <definedName name="RAPT_STATUT_BOVINS">R.Technique!$H$75</definedName>
    <definedName name="RAPT_TER_PROM_AP">R.Technique!$H$58</definedName>
    <definedName name="RAPT_TER_PROM_AV">R.Technique!$E$58</definedName>
    <definedName name="regionagric">'Données à transférer'!$G$20:$G$24</definedName>
    <definedName name="RESULTATS">Budget!$B$929</definedName>
    <definedName name="RETCV_CODE">#REF!</definedName>
    <definedName name="RFDIP_CODE">#REF!</definedName>
    <definedName name="Situation_origine_en">#REF!</definedName>
    <definedName name="Stat_Bov">'Données à transférer'!$G$9:$G$11</definedName>
    <definedName name="TABLE" localSheetId="0">Budget!$J$3:$J$3</definedName>
    <definedName name="TEMPS_TRAVAIL">Valeurs!$T$11:$W$11</definedName>
    <definedName name="XANADR">R.Technique!$C$13</definedName>
    <definedName name="XANCP">R.Technique!$C$14</definedName>
    <definedName name="XANCPT">R.Technique!$D$160</definedName>
    <definedName name="XANDIN">R.Technique!$H$73</definedName>
    <definedName name="XANDNA">R.Technique!$E$25</definedName>
    <definedName name="XANECI">R.Technique!$E$26</definedName>
    <definedName name="XANLDI">R.Technique!$B$31</definedName>
    <definedName name="XANLOC">R.Technique!$C$15</definedName>
    <definedName name="XANLSU">R.Technique!$C$41</definedName>
    <definedName name="XANLTY">R.Technique!$C$22</definedName>
    <definedName name="XANNBE">R.Technique!$G$33</definedName>
    <definedName name="XANNOM">R.Technique!$C$11</definedName>
    <definedName name="XANPOU">R.Technique!$H$23</definedName>
    <definedName name="XANPRE">R.Technique!$C$12</definedName>
    <definedName name="XANPRV">R.Technique!$C$17</definedName>
    <definedName name="XANREV">R.Technique!$H$22</definedName>
    <definedName name="XANSYG">Budget!$H$14</definedName>
    <definedName name="XONADR">Budget!$B$9</definedName>
    <definedName name="XONBUR">R.Technique!$F$50</definedName>
    <definedName name="XONCOD">R.Technique!$F$46</definedName>
    <definedName name="XONCOF">R.Technique!$F$48</definedName>
    <definedName name="XONCP">Budget!$B$10</definedName>
    <definedName name="XONLC">R.Technique!$C$50</definedName>
    <definedName name="XONLOC">Budget!$B$11</definedName>
    <definedName name="XONLRA">Budget!$J$13</definedName>
    <definedName name="XONLRD">R.Technique!$D$20</definedName>
    <definedName name="XONNBP">R.Technique!$J$35</definedName>
    <definedName name="XONNOM">Budget!$B$7</definedName>
    <definedName name="XONPRE">Budget!$B$8</definedName>
    <definedName name="XONPRV">Budget!$B$12</definedName>
    <definedName name="XONQLT">R.Technique!$K$79</definedName>
    <definedName name="XONSUP">Budget!$M$8</definedName>
    <definedName name="XONSYG">Budget!$C$14</definedName>
    <definedName name="XONTVA">R.Technique!$J$18</definedName>
    <definedName name="XONUTH">R.Technique!$K$35</definedName>
    <definedName name="Z_0E119D24_1648_11D6_96DB_00A024CFB246_.wvu.PrintArea" localSheetId="0" hidden="1">Budget!$A$3:$K$1019</definedName>
    <definedName name="Z_0E119D24_1648_11D6_96DB_00A024CFB246_.wvu.Rows" localSheetId="1" hidden="1">Valeurs!$2:$10</definedName>
    <definedName name="Z_666CE5F8_0F01_4246_8501_D3EAFC05BD86_.wvu.Cols" localSheetId="0" hidden="1">Budget!$M:$BV</definedName>
    <definedName name="Z_666CE5F8_0F01_4246_8501_D3EAFC05BD86_.wvu.Cols" localSheetId="3" hidden="1">Fich.Structure!$1:$1048576</definedName>
    <definedName name="Z_666CE5F8_0F01_4246_8501_D3EAFC05BD86_.wvu.Cols" localSheetId="5" hidden="1">'Relevé Factures'!$1:$1048576</definedName>
    <definedName name="Z_666CE5F8_0F01_4246_8501_D3EAFC05BD86_.wvu.PrintArea" localSheetId="0" hidden="1">Budget!$A$1:$T$1032</definedName>
    <definedName name="Z_666CE5F8_0F01_4246_8501_D3EAFC05BD86_.wvu.PrintArea" localSheetId="3" hidden="1">Fich.Structure!$A$1:$F$71</definedName>
    <definedName name="Z_666CE5F8_0F01_4246_8501_D3EAFC05BD86_.wvu.PrintArea" localSheetId="2" hidden="1">R.Technique!$A$1:$M$160</definedName>
    <definedName name="Z_666CE5F8_0F01_4246_8501_D3EAFC05BD86_.wvu.PrintArea" localSheetId="5" hidden="1">'Relevé Factures'!$A$1:$K$40</definedName>
    <definedName name="Z_666CE5F8_0F01_4246_8501_D3EAFC05BD86_.wvu.PrintArea" localSheetId="1" hidden="1">Valeurs!$A$1:$IJ$217</definedName>
    <definedName name="Z_666CE5F8_0F01_4246_8501_D3EAFC05BD86_.wvu.Rows" localSheetId="0" hidden="1">Budget!$1:$3,Budget!$120:$120,Budget!$878:$879,Budget!$898:$898,Budget!$901:$901,Budget!$928:$928,Budget!$931:$931,Budget!$938:$1033</definedName>
    <definedName name="Z_666CE5F8_0F01_4246_8501_D3EAFC05BD86_.wvu.Rows" localSheetId="2" hidden="1">R.Technique!$161:$65536,R.Technique!$1:$160</definedName>
    <definedName name="Z_666CE5F8_0F01_4246_8501_D3EAFC05BD86_.wvu.Rows" localSheetId="1" hidden="1">Valeurs!$2:$10</definedName>
    <definedName name="_xlnm.Print_Area" localSheetId="0">Budget!$A$1:$T$1032</definedName>
    <definedName name="_xlnm.Print_Area" localSheetId="3">Fich.Structure!$A$1:$F$71</definedName>
    <definedName name="_xlnm.Print_Area" localSheetId="2">R.Technique!$A$1:$M$160</definedName>
    <definedName name="_xlnm.Print_Area" localSheetId="5">'Relevé Factures'!$A$1:$K$40</definedName>
    <definedName name="_xlnm.Print_Area" localSheetId="1">Valeurs!$A$1:$IJ$217</definedName>
    <definedName name="Zone_impres_MI" localSheetId="5">'Relevé Factures'!$A$1:$K$26</definedName>
  </definedNames>
  <calcPr calcId="125725" fullCalcOnLoad="1"/>
  <customWorkbookViews>
    <customWorkbookView name="Dechamps - Affichage personnalisé" guid="{0E119D24-1648-11D6-96DB-00A024CFB246}" mergeInterval="0" personalView="1" maximized="1" windowWidth="1020" windowHeight="632" activeSheetId="6"/>
    <customWorkbookView name="POISMANS - Affichage personnalisé" guid="{666CE5F8-0F01-4246-8501-D3EAFC05BD86}" mergeInterval="0" personalView="1" maximized="1" windowWidth="1020" windowHeight="623" tabRatio="793" activeSheetId="1" showComments="commIndAndComment"/>
  </customWorkbookViews>
</workbook>
</file>

<file path=xl/calcChain.xml><?xml version="1.0" encoding="utf-8"?>
<calcChain xmlns="http://schemas.openxmlformats.org/spreadsheetml/2006/main">
  <c r="E935" i="1"/>
  <c r="B2"/>
  <c r="C2"/>
  <c r="O10"/>
  <c r="O11"/>
  <c r="T12"/>
  <c r="T13"/>
  <c r="T14"/>
  <c r="T15"/>
  <c r="T16"/>
  <c r="J17"/>
  <c r="C31" i="5" s="1"/>
  <c r="T17" i="1"/>
  <c r="S12" s="1"/>
  <c r="T18"/>
  <c r="T19"/>
  <c r="T20"/>
  <c r="T21"/>
  <c r="T22"/>
  <c r="T23"/>
  <c r="F25"/>
  <c r="G25"/>
  <c r="K25"/>
  <c r="H25"/>
  <c r="I25"/>
  <c r="F26"/>
  <c r="G26"/>
  <c r="H26"/>
  <c r="K26"/>
  <c r="I26"/>
  <c r="F27"/>
  <c r="G27"/>
  <c r="K27"/>
  <c r="H27"/>
  <c r="I27"/>
  <c r="F28"/>
  <c r="F64"/>
  <c r="B890"/>
  <c r="G28"/>
  <c r="H28"/>
  <c r="I28"/>
  <c r="K28"/>
  <c r="F29"/>
  <c r="G29"/>
  <c r="K29"/>
  <c r="H29"/>
  <c r="I29"/>
  <c r="F30"/>
  <c r="G30"/>
  <c r="H30"/>
  <c r="K30"/>
  <c r="I30"/>
  <c r="F31"/>
  <c r="G31"/>
  <c r="K31"/>
  <c r="H31"/>
  <c r="I31"/>
  <c r="F32"/>
  <c r="G32"/>
  <c r="H32"/>
  <c r="I32"/>
  <c r="K32"/>
  <c r="F33"/>
  <c r="G33"/>
  <c r="K33"/>
  <c r="H33"/>
  <c r="I33"/>
  <c r="F36"/>
  <c r="G36"/>
  <c r="H36"/>
  <c r="I36"/>
  <c r="F37"/>
  <c r="G37"/>
  <c r="H37"/>
  <c r="K37"/>
  <c r="I37"/>
  <c r="F38"/>
  <c r="G38"/>
  <c r="K38"/>
  <c r="H38"/>
  <c r="I38"/>
  <c r="F39"/>
  <c r="G39"/>
  <c r="H39"/>
  <c r="I39"/>
  <c r="K39"/>
  <c r="F40"/>
  <c r="G40"/>
  <c r="K40"/>
  <c r="H40"/>
  <c r="I40"/>
  <c r="F41"/>
  <c r="G41"/>
  <c r="H41"/>
  <c r="I41"/>
  <c r="F44"/>
  <c r="G44"/>
  <c r="K44"/>
  <c r="H44"/>
  <c r="I44"/>
  <c r="F45"/>
  <c r="G45"/>
  <c r="K45"/>
  <c r="H45"/>
  <c r="I45"/>
  <c r="F46"/>
  <c r="G46"/>
  <c r="H46"/>
  <c r="I46"/>
  <c r="K46"/>
  <c r="F47"/>
  <c r="G47"/>
  <c r="K47"/>
  <c r="H47"/>
  <c r="I47"/>
  <c r="F48"/>
  <c r="G48"/>
  <c r="K48"/>
  <c r="H48"/>
  <c r="I48"/>
  <c r="F49"/>
  <c r="G49"/>
  <c r="K49"/>
  <c r="H49"/>
  <c r="I49"/>
  <c r="F50"/>
  <c r="G50"/>
  <c r="H50"/>
  <c r="I50"/>
  <c r="K50"/>
  <c r="G52"/>
  <c r="F53"/>
  <c r="G53"/>
  <c r="K53"/>
  <c r="H53"/>
  <c r="I53"/>
  <c r="F54"/>
  <c r="G54"/>
  <c r="K54"/>
  <c r="H54"/>
  <c r="I54"/>
  <c r="F57"/>
  <c r="G57"/>
  <c r="H57"/>
  <c r="I57"/>
  <c r="K57"/>
  <c r="F58"/>
  <c r="G58"/>
  <c r="K58"/>
  <c r="H58"/>
  <c r="I58"/>
  <c r="F61"/>
  <c r="G61"/>
  <c r="K61"/>
  <c r="H61"/>
  <c r="I61"/>
  <c r="F62"/>
  <c r="G62"/>
  <c r="K62"/>
  <c r="H62"/>
  <c r="I62"/>
  <c r="F63"/>
  <c r="G63"/>
  <c r="H63"/>
  <c r="I63"/>
  <c r="K63"/>
  <c r="B64"/>
  <c r="H64"/>
  <c r="I64"/>
  <c r="G65"/>
  <c r="G66"/>
  <c r="C70"/>
  <c r="C71"/>
  <c r="G74"/>
  <c r="H70"/>
  <c r="H74"/>
  <c r="F75"/>
  <c r="G75"/>
  <c r="H75"/>
  <c r="I75"/>
  <c r="K75"/>
  <c r="F77"/>
  <c r="G77"/>
  <c r="H77"/>
  <c r="I77"/>
  <c r="K77"/>
  <c r="F78"/>
  <c r="G78"/>
  <c r="H78"/>
  <c r="I78"/>
  <c r="K78"/>
  <c r="F79"/>
  <c r="G79"/>
  <c r="H71"/>
  <c r="H79"/>
  <c r="I79"/>
  <c r="K79"/>
  <c r="F80"/>
  <c r="G80"/>
  <c r="H80"/>
  <c r="I80"/>
  <c r="K80"/>
  <c r="F82"/>
  <c r="G82"/>
  <c r="H82"/>
  <c r="I82"/>
  <c r="K82"/>
  <c r="F83"/>
  <c r="G83"/>
  <c r="H83"/>
  <c r="I83"/>
  <c r="K83"/>
  <c r="F85"/>
  <c r="F88"/>
  <c r="F110"/>
  <c r="B891"/>
  <c r="G85"/>
  <c r="H85"/>
  <c r="I85"/>
  <c r="K85"/>
  <c r="F86"/>
  <c r="G86"/>
  <c r="H86"/>
  <c r="I86"/>
  <c r="K86"/>
  <c r="F87"/>
  <c r="G87"/>
  <c r="H87"/>
  <c r="I87"/>
  <c r="B88"/>
  <c r="H88"/>
  <c r="I88"/>
  <c r="J88"/>
  <c r="F94"/>
  <c r="F100"/>
  <c r="G94"/>
  <c r="G100"/>
  <c r="G110"/>
  <c r="H94"/>
  <c r="J94"/>
  <c r="F95"/>
  <c r="G95"/>
  <c r="K95"/>
  <c r="H95"/>
  <c r="J95"/>
  <c r="H96"/>
  <c r="H97"/>
  <c r="F98"/>
  <c r="H98"/>
  <c r="J98"/>
  <c r="K98"/>
  <c r="F99"/>
  <c r="H99"/>
  <c r="J99"/>
  <c r="K99"/>
  <c r="B100"/>
  <c r="B110"/>
  <c r="H100"/>
  <c r="F101"/>
  <c r="G101"/>
  <c r="H101"/>
  <c r="I101"/>
  <c r="K101"/>
  <c r="J101"/>
  <c r="H102"/>
  <c r="H103"/>
  <c r="G104"/>
  <c r="I104"/>
  <c r="J104"/>
  <c r="G105"/>
  <c r="H105"/>
  <c r="I105"/>
  <c r="J105"/>
  <c r="F106"/>
  <c r="K106"/>
  <c r="K109"/>
  <c r="G106"/>
  <c r="H106"/>
  <c r="I106"/>
  <c r="J106"/>
  <c r="G107"/>
  <c r="K107"/>
  <c r="G108"/>
  <c r="K108"/>
  <c r="H115"/>
  <c r="H116"/>
  <c r="H117"/>
  <c r="H118"/>
  <c r="K36"/>
  <c r="H121"/>
  <c r="K41"/>
  <c r="F123"/>
  <c r="H123"/>
  <c r="K123"/>
  <c r="F124"/>
  <c r="H124"/>
  <c r="K124"/>
  <c r="H125"/>
  <c r="H126"/>
  <c r="G127"/>
  <c r="G128"/>
  <c r="F136"/>
  <c r="F171"/>
  <c r="G136"/>
  <c r="I136"/>
  <c r="J136"/>
  <c r="K136"/>
  <c r="F137"/>
  <c r="G137"/>
  <c r="I137"/>
  <c r="K137"/>
  <c r="J137"/>
  <c r="F138"/>
  <c r="G138"/>
  <c r="G171"/>
  <c r="H174"/>
  <c r="I138"/>
  <c r="J138"/>
  <c r="G139"/>
  <c r="G140"/>
  <c r="F141"/>
  <c r="G141"/>
  <c r="I141"/>
  <c r="K141"/>
  <c r="J141"/>
  <c r="G142"/>
  <c r="G143"/>
  <c r="F144"/>
  <c r="G144"/>
  <c r="K144"/>
  <c r="I144"/>
  <c r="J144"/>
  <c r="F145"/>
  <c r="G145"/>
  <c r="I145"/>
  <c r="K145"/>
  <c r="J145"/>
  <c r="G146"/>
  <c r="G147"/>
  <c r="F148"/>
  <c r="G148"/>
  <c r="K148"/>
  <c r="I148"/>
  <c r="J148"/>
  <c r="F149"/>
  <c r="G149"/>
  <c r="I149"/>
  <c r="K149"/>
  <c r="J149"/>
  <c r="F150"/>
  <c r="G150"/>
  <c r="K150"/>
  <c r="I150"/>
  <c r="J150"/>
  <c r="F151"/>
  <c r="G151"/>
  <c r="I151"/>
  <c r="K151"/>
  <c r="J151"/>
  <c r="F152"/>
  <c r="G152"/>
  <c r="K152"/>
  <c r="I152"/>
  <c r="J152"/>
  <c r="F153"/>
  <c r="G153"/>
  <c r="I153"/>
  <c r="K153"/>
  <c r="J153"/>
  <c r="F154"/>
  <c r="G154"/>
  <c r="K154"/>
  <c r="I154"/>
  <c r="J154"/>
  <c r="F155"/>
  <c r="G155"/>
  <c r="I155"/>
  <c r="K155"/>
  <c r="J155"/>
  <c r="F156"/>
  <c r="G156"/>
  <c r="K156"/>
  <c r="I156"/>
  <c r="J156"/>
  <c r="F157"/>
  <c r="G157"/>
  <c r="I157"/>
  <c r="K157"/>
  <c r="J157"/>
  <c r="F158"/>
  <c r="G158"/>
  <c r="K158"/>
  <c r="I158"/>
  <c r="J158"/>
  <c r="F159"/>
  <c r="G159"/>
  <c r="I159"/>
  <c r="K159"/>
  <c r="J159"/>
  <c r="F160"/>
  <c r="G160"/>
  <c r="K160"/>
  <c r="I160"/>
  <c r="J160"/>
  <c r="F161"/>
  <c r="G161"/>
  <c r="I161"/>
  <c r="K161"/>
  <c r="J161"/>
  <c r="F162"/>
  <c r="G162"/>
  <c r="K162"/>
  <c r="I162"/>
  <c r="J162"/>
  <c r="F163"/>
  <c r="G163"/>
  <c r="I163"/>
  <c r="K163"/>
  <c r="J163"/>
  <c r="F164"/>
  <c r="G164"/>
  <c r="K164"/>
  <c r="I164"/>
  <c r="J164"/>
  <c r="F165"/>
  <c r="G165"/>
  <c r="I165"/>
  <c r="K165"/>
  <c r="J165"/>
  <c r="F166"/>
  <c r="G166"/>
  <c r="K166"/>
  <c r="I166"/>
  <c r="J166"/>
  <c r="F167"/>
  <c r="G167"/>
  <c r="I167"/>
  <c r="K167"/>
  <c r="J167"/>
  <c r="F168"/>
  <c r="G168"/>
  <c r="K168"/>
  <c r="I168"/>
  <c r="J168"/>
  <c r="F169"/>
  <c r="G169"/>
  <c r="I169"/>
  <c r="K169"/>
  <c r="J169"/>
  <c r="F170"/>
  <c r="G170"/>
  <c r="K170"/>
  <c r="I170"/>
  <c r="J170"/>
  <c r="B171"/>
  <c r="C174"/>
  <c r="I171"/>
  <c r="J171"/>
  <c r="H173"/>
  <c r="G180"/>
  <c r="G187"/>
  <c r="G181"/>
  <c r="G182"/>
  <c r="G183"/>
  <c r="G184"/>
  <c r="G185"/>
  <c r="G186"/>
  <c r="B187"/>
  <c r="J187"/>
  <c r="G188"/>
  <c r="G189"/>
  <c r="F197"/>
  <c r="G197"/>
  <c r="K197"/>
  <c r="I197"/>
  <c r="J197"/>
  <c r="F198"/>
  <c r="F321"/>
  <c r="G198"/>
  <c r="I198"/>
  <c r="J198"/>
  <c r="K198"/>
  <c r="F199"/>
  <c r="G199"/>
  <c r="I199"/>
  <c r="K199"/>
  <c r="J199"/>
  <c r="F200"/>
  <c r="G200"/>
  <c r="K200"/>
  <c r="I200"/>
  <c r="J200"/>
  <c r="F201"/>
  <c r="G201"/>
  <c r="K201"/>
  <c r="I201"/>
  <c r="J201"/>
  <c r="F202"/>
  <c r="G202"/>
  <c r="I202"/>
  <c r="J202"/>
  <c r="K202"/>
  <c r="F203"/>
  <c r="G203"/>
  <c r="I203"/>
  <c r="K203"/>
  <c r="J203"/>
  <c r="F204"/>
  <c r="G204"/>
  <c r="K204"/>
  <c r="I204"/>
  <c r="J204"/>
  <c r="F205"/>
  <c r="G205"/>
  <c r="K205"/>
  <c r="I205"/>
  <c r="J205"/>
  <c r="F206"/>
  <c r="G206"/>
  <c r="I206"/>
  <c r="J206"/>
  <c r="K206"/>
  <c r="F207"/>
  <c r="G207"/>
  <c r="I207"/>
  <c r="K207"/>
  <c r="J207"/>
  <c r="F208"/>
  <c r="G208"/>
  <c r="K208"/>
  <c r="I208"/>
  <c r="J208"/>
  <c r="F209"/>
  <c r="G209"/>
  <c r="K209"/>
  <c r="I209"/>
  <c r="J209"/>
  <c r="G210"/>
  <c r="I210"/>
  <c r="J210"/>
  <c r="F211"/>
  <c r="G211"/>
  <c r="K211"/>
  <c r="I211"/>
  <c r="J211"/>
  <c r="F212"/>
  <c r="G212"/>
  <c r="I212"/>
  <c r="J212"/>
  <c r="K212"/>
  <c r="F213"/>
  <c r="G213"/>
  <c r="I213"/>
  <c r="K213"/>
  <c r="J213"/>
  <c r="F214"/>
  <c r="G214"/>
  <c r="K214"/>
  <c r="I214"/>
  <c r="J214"/>
  <c r="F215"/>
  <c r="G215"/>
  <c r="K215"/>
  <c r="I215"/>
  <c r="J215"/>
  <c r="F216"/>
  <c r="G216"/>
  <c r="I216"/>
  <c r="J216"/>
  <c r="K216"/>
  <c r="F217"/>
  <c r="G217"/>
  <c r="I217"/>
  <c r="K217"/>
  <c r="J217"/>
  <c r="F218"/>
  <c r="G218"/>
  <c r="K218"/>
  <c r="I218"/>
  <c r="J218"/>
  <c r="F219"/>
  <c r="G219"/>
  <c r="K219"/>
  <c r="I219"/>
  <c r="J219"/>
  <c r="F220"/>
  <c r="G220"/>
  <c r="I220"/>
  <c r="J220"/>
  <c r="K220"/>
  <c r="F221"/>
  <c r="G221"/>
  <c r="I221"/>
  <c r="K221"/>
  <c r="J221"/>
  <c r="F222"/>
  <c r="G222"/>
  <c r="K222"/>
  <c r="I222"/>
  <c r="J222"/>
  <c r="F223"/>
  <c r="G223"/>
  <c r="K223"/>
  <c r="I223"/>
  <c r="J223"/>
  <c r="F224"/>
  <c r="G224"/>
  <c r="I224"/>
  <c r="J224"/>
  <c r="K224"/>
  <c r="F225"/>
  <c r="G225"/>
  <c r="I225"/>
  <c r="K225"/>
  <c r="J225"/>
  <c r="F226"/>
  <c r="G226"/>
  <c r="K226"/>
  <c r="I226"/>
  <c r="J226"/>
  <c r="F227"/>
  <c r="G227"/>
  <c r="K227"/>
  <c r="I227"/>
  <c r="J227"/>
  <c r="F228"/>
  <c r="G228"/>
  <c r="I228"/>
  <c r="J228"/>
  <c r="K228"/>
  <c r="F229"/>
  <c r="G229"/>
  <c r="I229"/>
  <c r="K229"/>
  <c r="J229"/>
  <c r="F230"/>
  <c r="G230"/>
  <c r="K230"/>
  <c r="I230"/>
  <c r="J230"/>
  <c r="F231"/>
  <c r="G231"/>
  <c r="K231"/>
  <c r="I231"/>
  <c r="J231"/>
  <c r="F232"/>
  <c r="G232"/>
  <c r="I232"/>
  <c r="J232"/>
  <c r="K232"/>
  <c r="F233"/>
  <c r="G233"/>
  <c r="I233"/>
  <c r="K233"/>
  <c r="J233"/>
  <c r="F234"/>
  <c r="G234"/>
  <c r="K234"/>
  <c r="I234"/>
  <c r="J234"/>
  <c r="F235"/>
  <c r="G235"/>
  <c r="K235"/>
  <c r="I235"/>
  <c r="J235"/>
  <c r="F236"/>
  <c r="G236"/>
  <c r="I236"/>
  <c r="J236"/>
  <c r="K236"/>
  <c r="G237"/>
  <c r="I237"/>
  <c r="J237"/>
  <c r="F238"/>
  <c r="G238"/>
  <c r="I238"/>
  <c r="J238"/>
  <c r="K238"/>
  <c r="F239"/>
  <c r="G239"/>
  <c r="I239"/>
  <c r="K239"/>
  <c r="J239"/>
  <c r="F240"/>
  <c r="G240"/>
  <c r="K240"/>
  <c r="I240"/>
  <c r="J240"/>
  <c r="F241"/>
  <c r="G241"/>
  <c r="K241"/>
  <c r="I241"/>
  <c r="J241"/>
  <c r="F242"/>
  <c r="G242"/>
  <c r="I242"/>
  <c r="J242"/>
  <c r="K242"/>
  <c r="F243"/>
  <c r="G243"/>
  <c r="I243"/>
  <c r="K243"/>
  <c r="J243"/>
  <c r="F244"/>
  <c r="G244"/>
  <c r="K244"/>
  <c r="I244"/>
  <c r="J244"/>
  <c r="F245"/>
  <c r="G245"/>
  <c r="K245"/>
  <c r="I245"/>
  <c r="J245"/>
  <c r="F246"/>
  <c r="G246"/>
  <c r="I246"/>
  <c r="J246"/>
  <c r="K246"/>
  <c r="G247"/>
  <c r="I247"/>
  <c r="J247"/>
  <c r="F248"/>
  <c r="G248"/>
  <c r="I248"/>
  <c r="J248"/>
  <c r="K248"/>
  <c r="F249"/>
  <c r="G249"/>
  <c r="I249"/>
  <c r="K249"/>
  <c r="J249"/>
  <c r="F250"/>
  <c r="G250"/>
  <c r="K250"/>
  <c r="I250"/>
  <c r="J250"/>
  <c r="F251"/>
  <c r="G251"/>
  <c r="K251"/>
  <c r="I251"/>
  <c r="J251"/>
  <c r="F252"/>
  <c r="G252"/>
  <c r="I252"/>
  <c r="J252"/>
  <c r="K252"/>
  <c r="F253"/>
  <c r="G253"/>
  <c r="I253"/>
  <c r="K253"/>
  <c r="J253"/>
  <c r="F254"/>
  <c r="G254"/>
  <c r="K254"/>
  <c r="I254"/>
  <c r="J254"/>
  <c r="F255"/>
  <c r="G255"/>
  <c r="K255"/>
  <c r="I255"/>
  <c r="J255"/>
  <c r="G256"/>
  <c r="I256"/>
  <c r="J256"/>
  <c r="F257"/>
  <c r="G257"/>
  <c r="K257"/>
  <c r="I257"/>
  <c r="J257"/>
  <c r="F258"/>
  <c r="G258"/>
  <c r="I258"/>
  <c r="J258"/>
  <c r="K258"/>
  <c r="F259"/>
  <c r="G259"/>
  <c r="I259"/>
  <c r="K259"/>
  <c r="J259"/>
  <c r="F260"/>
  <c r="G260"/>
  <c r="K260"/>
  <c r="I260"/>
  <c r="J260"/>
  <c r="F261"/>
  <c r="G261"/>
  <c r="K261"/>
  <c r="I261"/>
  <c r="J261"/>
  <c r="F262"/>
  <c r="G262"/>
  <c r="I262"/>
  <c r="J262"/>
  <c r="K262"/>
  <c r="F263"/>
  <c r="G263"/>
  <c r="I263"/>
  <c r="K263"/>
  <c r="J263"/>
  <c r="F264"/>
  <c r="G264"/>
  <c r="K264"/>
  <c r="I264"/>
  <c r="J264"/>
  <c r="F265"/>
  <c r="G265"/>
  <c r="K265"/>
  <c r="I265"/>
  <c r="J265"/>
  <c r="F266"/>
  <c r="G266"/>
  <c r="I266"/>
  <c r="J266"/>
  <c r="K266"/>
  <c r="F267"/>
  <c r="G267"/>
  <c r="I267"/>
  <c r="K267"/>
  <c r="J267"/>
  <c r="F268"/>
  <c r="G268"/>
  <c r="K268"/>
  <c r="I268"/>
  <c r="J268"/>
  <c r="F269"/>
  <c r="G269"/>
  <c r="K269"/>
  <c r="I269"/>
  <c r="J269"/>
  <c r="F270"/>
  <c r="G270"/>
  <c r="I270"/>
  <c r="J270"/>
  <c r="K270"/>
  <c r="F271"/>
  <c r="G271"/>
  <c r="I271"/>
  <c r="K271"/>
  <c r="J271"/>
  <c r="G272"/>
  <c r="G273"/>
  <c r="G277"/>
  <c r="I277"/>
  <c r="J277"/>
  <c r="F279"/>
  <c r="G279"/>
  <c r="K279"/>
  <c r="I279"/>
  <c r="J279"/>
  <c r="F280"/>
  <c r="G280"/>
  <c r="I280"/>
  <c r="J280"/>
  <c r="K280"/>
  <c r="F281"/>
  <c r="G281"/>
  <c r="K281"/>
  <c r="I281"/>
  <c r="J281"/>
  <c r="F282"/>
  <c r="G282"/>
  <c r="K282"/>
  <c r="I282"/>
  <c r="J282"/>
  <c r="F284"/>
  <c r="G284"/>
  <c r="K284"/>
  <c r="I284"/>
  <c r="J284"/>
  <c r="F285"/>
  <c r="G285"/>
  <c r="I285"/>
  <c r="J285"/>
  <c r="K285"/>
  <c r="F286"/>
  <c r="G286"/>
  <c r="K286"/>
  <c r="I286"/>
  <c r="J286"/>
  <c r="F287"/>
  <c r="G287"/>
  <c r="K287"/>
  <c r="I287"/>
  <c r="J287"/>
  <c r="F288"/>
  <c r="G288"/>
  <c r="K288"/>
  <c r="I288"/>
  <c r="J288"/>
  <c r="F289"/>
  <c r="G289"/>
  <c r="I289"/>
  <c r="J289"/>
  <c r="K289"/>
  <c r="F290"/>
  <c r="G290"/>
  <c r="K290"/>
  <c r="I290"/>
  <c r="J290"/>
  <c r="F291"/>
  <c r="G291"/>
  <c r="K291"/>
  <c r="I291"/>
  <c r="J291"/>
  <c r="F292"/>
  <c r="G292"/>
  <c r="K292"/>
  <c r="I292"/>
  <c r="J292"/>
  <c r="F293"/>
  <c r="G293"/>
  <c r="I293"/>
  <c r="J293"/>
  <c r="K293"/>
  <c r="F294"/>
  <c r="G294"/>
  <c r="K294"/>
  <c r="I294"/>
  <c r="J294"/>
  <c r="F295"/>
  <c r="G295"/>
  <c r="K295"/>
  <c r="I295"/>
  <c r="J295"/>
  <c r="F297"/>
  <c r="G297"/>
  <c r="K297"/>
  <c r="I297"/>
  <c r="J297"/>
  <c r="F298"/>
  <c r="G298"/>
  <c r="I298"/>
  <c r="J298"/>
  <c r="K298"/>
  <c r="F299"/>
  <c r="G299"/>
  <c r="K299"/>
  <c r="I299"/>
  <c r="J299"/>
  <c r="F300"/>
  <c r="G300"/>
  <c r="K300"/>
  <c r="I300"/>
  <c r="J300"/>
  <c r="F301"/>
  <c r="G301"/>
  <c r="K301"/>
  <c r="I301"/>
  <c r="J301"/>
  <c r="F303"/>
  <c r="G303"/>
  <c r="I303"/>
  <c r="J303"/>
  <c r="K303"/>
  <c r="F304"/>
  <c r="G304"/>
  <c r="K304"/>
  <c r="I304"/>
  <c r="J304"/>
  <c r="F305"/>
  <c r="G305"/>
  <c r="K305"/>
  <c r="I305"/>
  <c r="J305"/>
  <c r="F306"/>
  <c r="G306"/>
  <c r="K306"/>
  <c r="I306"/>
  <c r="J306"/>
  <c r="F307"/>
  <c r="G307"/>
  <c r="I307"/>
  <c r="J307"/>
  <c r="K307"/>
  <c r="F309"/>
  <c r="G309"/>
  <c r="K309"/>
  <c r="I309"/>
  <c r="J309"/>
  <c r="F310"/>
  <c r="G310"/>
  <c r="K310"/>
  <c r="I310"/>
  <c r="J310"/>
  <c r="F311"/>
  <c r="G311"/>
  <c r="K311"/>
  <c r="I311"/>
  <c r="J311"/>
  <c r="F312"/>
  <c r="G312"/>
  <c r="I312"/>
  <c r="J312"/>
  <c r="K312"/>
  <c r="F313"/>
  <c r="G313"/>
  <c r="K313"/>
  <c r="I313"/>
  <c r="J313"/>
  <c r="F314"/>
  <c r="G314"/>
  <c r="K314"/>
  <c r="I314"/>
  <c r="J314"/>
  <c r="F315"/>
  <c r="G315"/>
  <c r="K315"/>
  <c r="I315"/>
  <c r="J315"/>
  <c r="F316"/>
  <c r="G316"/>
  <c r="I316"/>
  <c r="J316"/>
  <c r="K316"/>
  <c r="F317"/>
  <c r="G317"/>
  <c r="K317"/>
  <c r="I317"/>
  <c r="J317"/>
  <c r="F318"/>
  <c r="G318"/>
  <c r="K318"/>
  <c r="I318"/>
  <c r="J318"/>
  <c r="F319"/>
  <c r="G319"/>
  <c r="K319"/>
  <c r="I319"/>
  <c r="J319"/>
  <c r="F320"/>
  <c r="G320"/>
  <c r="I320"/>
  <c r="J320"/>
  <c r="K320"/>
  <c r="B321"/>
  <c r="I321"/>
  <c r="J321"/>
  <c r="H323"/>
  <c r="C324"/>
  <c r="G330"/>
  <c r="G331"/>
  <c r="G347"/>
  <c r="G332"/>
  <c r="G333"/>
  <c r="G334"/>
  <c r="G335"/>
  <c r="G336"/>
  <c r="G337"/>
  <c r="G338"/>
  <c r="G339"/>
  <c r="G340"/>
  <c r="G341"/>
  <c r="G342"/>
  <c r="G343"/>
  <c r="G344"/>
  <c r="G345"/>
  <c r="G346"/>
  <c r="B347"/>
  <c r="J347"/>
  <c r="G349"/>
  <c r="G350"/>
  <c r="F358"/>
  <c r="F380"/>
  <c r="B875"/>
  <c r="F875"/>
  <c r="G358"/>
  <c r="K358" s="1"/>
  <c r="K380" s="1"/>
  <c r="G875" s="1"/>
  <c r="K875" s="1"/>
  <c r="K880" s="1"/>
  <c r="G914" s="1"/>
  <c r="G915" s="1"/>
  <c r="G921" s="1"/>
  <c r="I358"/>
  <c r="F359"/>
  <c r="G359"/>
  <c r="K359"/>
  <c r="I359"/>
  <c r="F360"/>
  <c r="G360"/>
  <c r="K360"/>
  <c r="I360"/>
  <c r="F361"/>
  <c r="G361"/>
  <c r="K361"/>
  <c r="I361"/>
  <c r="F362"/>
  <c r="G362"/>
  <c r="K362"/>
  <c r="I362"/>
  <c r="F363"/>
  <c r="G363"/>
  <c r="K363"/>
  <c r="I363"/>
  <c r="F364"/>
  <c r="G364"/>
  <c r="K364"/>
  <c r="I364"/>
  <c r="F365"/>
  <c r="G365"/>
  <c r="K365"/>
  <c r="I365"/>
  <c r="F366"/>
  <c r="G366"/>
  <c r="K366"/>
  <c r="I366"/>
  <c r="F367"/>
  <c r="I367"/>
  <c r="F368"/>
  <c r="G368"/>
  <c r="K368"/>
  <c r="I368"/>
  <c r="F369"/>
  <c r="G369"/>
  <c r="K369"/>
  <c r="I369"/>
  <c r="F370"/>
  <c r="G370"/>
  <c r="K370"/>
  <c r="I370"/>
  <c r="F371"/>
  <c r="G371"/>
  <c r="K371"/>
  <c r="I371"/>
  <c r="F372"/>
  <c r="G372"/>
  <c r="K372"/>
  <c r="I372"/>
  <c r="F373"/>
  <c r="G373"/>
  <c r="K373"/>
  <c r="I373"/>
  <c r="F374"/>
  <c r="G374"/>
  <c r="K374"/>
  <c r="I374"/>
  <c r="F375"/>
  <c r="G375"/>
  <c r="K375"/>
  <c r="I375"/>
  <c r="F376"/>
  <c r="G376"/>
  <c r="K376"/>
  <c r="I376"/>
  <c r="F377"/>
  <c r="G377"/>
  <c r="K377"/>
  <c r="I377"/>
  <c r="F378"/>
  <c r="G378"/>
  <c r="K378"/>
  <c r="I378"/>
  <c r="F379"/>
  <c r="G379"/>
  <c r="K379"/>
  <c r="I379"/>
  <c r="B380"/>
  <c r="G380"/>
  <c r="F387"/>
  <c r="F395"/>
  <c r="B785"/>
  <c r="G387"/>
  <c r="K387"/>
  <c r="I387"/>
  <c r="F388"/>
  <c r="G388"/>
  <c r="K388"/>
  <c r="I388"/>
  <c r="F389"/>
  <c r="G389"/>
  <c r="K389"/>
  <c r="I389"/>
  <c r="F390"/>
  <c r="G390"/>
  <c r="K390"/>
  <c r="I390"/>
  <c r="F391"/>
  <c r="G391"/>
  <c r="K391"/>
  <c r="I391"/>
  <c r="F392"/>
  <c r="G392"/>
  <c r="K392"/>
  <c r="I392"/>
  <c r="F393"/>
  <c r="G393"/>
  <c r="K393"/>
  <c r="I393"/>
  <c r="F394"/>
  <c r="G394"/>
  <c r="K394"/>
  <c r="I394"/>
  <c r="B395"/>
  <c r="G395"/>
  <c r="I395"/>
  <c r="F401"/>
  <c r="G401"/>
  <c r="I401"/>
  <c r="K401"/>
  <c r="F402"/>
  <c r="I402"/>
  <c r="K402"/>
  <c r="B403"/>
  <c r="F403"/>
  <c r="G403"/>
  <c r="K403"/>
  <c r="I403"/>
  <c r="F404"/>
  <c r="G404"/>
  <c r="K404"/>
  <c r="I404"/>
  <c r="F405"/>
  <c r="G405"/>
  <c r="K405"/>
  <c r="I405"/>
  <c r="G406"/>
  <c r="I406"/>
  <c r="F412"/>
  <c r="F432"/>
  <c r="B894"/>
  <c r="G412"/>
  <c r="H412"/>
  <c r="I412"/>
  <c r="F413"/>
  <c r="G413"/>
  <c r="K413"/>
  <c r="H413"/>
  <c r="I413"/>
  <c r="F414"/>
  <c r="G414"/>
  <c r="K414"/>
  <c r="H414"/>
  <c r="I414"/>
  <c r="F415"/>
  <c r="G415"/>
  <c r="H415"/>
  <c r="I415"/>
  <c r="K415"/>
  <c r="F416"/>
  <c r="G416"/>
  <c r="H416"/>
  <c r="K416"/>
  <c r="I416"/>
  <c r="F417"/>
  <c r="G417"/>
  <c r="K417"/>
  <c r="H417"/>
  <c r="I417"/>
  <c r="F418"/>
  <c r="G418"/>
  <c r="K418"/>
  <c r="H418"/>
  <c r="I418"/>
  <c r="F419"/>
  <c r="G419"/>
  <c r="H419"/>
  <c r="I419"/>
  <c r="K419"/>
  <c r="F420"/>
  <c r="G420"/>
  <c r="H420"/>
  <c r="K420"/>
  <c r="I420"/>
  <c r="F421"/>
  <c r="G421"/>
  <c r="K421"/>
  <c r="H421"/>
  <c r="I421"/>
  <c r="F422"/>
  <c r="G422"/>
  <c r="K422"/>
  <c r="H422"/>
  <c r="I422"/>
  <c r="F423"/>
  <c r="G423"/>
  <c r="H423"/>
  <c r="I423"/>
  <c r="K423"/>
  <c r="F424"/>
  <c r="G424"/>
  <c r="H424"/>
  <c r="K424"/>
  <c r="I424"/>
  <c r="F425"/>
  <c r="G425"/>
  <c r="K425"/>
  <c r="H425"/>
  <c r="I425"/>
  <c r="F426"/>
  <c r="G426"/>
  <c r="K426"/>
  <c r="H426"/>
  <c r="I426"/>
  <c r="F427"/>
  <c r="G427"/>
  <c r="H427"/>
  <c r="I427"/>
  <c r="K427"/>
  <c r="F428"/>
  <c r="G428"/>
  <c r="H428"/>
  <c r="K428"/>
  <c r="I428"/>
  <c r="F429"/>
  <c r="G429"/>
  <c r="K429"/>
  <c r="H429"/>
  <c r="I429"/>
  <c r="F430"/>
  <c r="G430"/>
  <c r="K430"/>
  <c r="H430"/>
  <c r="I430"/>
  <c r="F431"/>
  <c r="G431"/>
  <c r="H431"/>
  <c r="I431"/>
  <c r="K431"/>
  <c r="B432"/>
  <c r="H432"/>
  <c r="I432"/>
  <c r="G433"/>
  <c r="G434"/>
  <c r="F442"/>
  <c r="F449"/>
  <c r="B876"/>
  <c r="F876"/>
  <c r="G442"/>
  <c r="I465"/>
  <c r="I442"/>
  <c r="F443"/>
  <c r="G443"/>
  <c r="K443"/>
  <c r="I443"/>
  <c r="F444"/>
  <c r="G444"/>
  <c r="K444"/>
  <c r="I444"/>
  <c r="F445"/>
  <c r="G445"/>
  <c r="K445"/>
  <c r="I445"/>
  <c r="F446"/>
  <c r="G446"/>
  <c r="K446"/>
  <c r="I446"/>
  <c r="G447"/>
  <c r="G448"/>
  <c r="B450"/>
  <c r="F458"/>
  <c r="F463"/>
  <c r="B789"/>
  <c r="G458"/>
  <c r="K458"/>
  <c r="I458"/>
  <c r="F459"/>
  <c r="G459"/>
  <c r="K459"/>
  <c r="I459"/>
  <c r="F460"/>
  <c r="G460"/>
  <c r="K460"/>
  <c r="I460"/>
  <c r="F461"/>
  <c r="G461"/>
  <c r="K461"/>
  <c r="I461"/>
  <c r="F462"/>
  <c r="G462"/>
  <c r="K462"/>
  <c r="I462"/>
  <c r="B463"/>
  <c r="F472"/>
  <c r="F480"/>
  <c r="B895"/>
  <c r="H472"/>
  <c r="K472"/>
  <c r="I472"/>
  <c r="F473"/>
  <c r="H473"/>
  <c r="K473"/>
  <c r="I473"/>
  <c r="F474"/>
  <c r="H474"/>
  <c r="K474"/>
  <c r="I474"/>
  <c r="F475"/>
  <c r="H475"/>
  <c r="K475"/>
  <c r="I475"/>
  <c r="F476"/>
  <c r="H476"/>
  <c r="K476"/>
  <c r="I476"/>
  <c r="F477"/>
  <c r="H477"/>
  <c r="K477"/>
  <c r="I477"/>
  <c r="F478"/>
  <c r="H478"/>
  <c r="K478"/>
  <c r="I478"/>
  <c r="F479"/>
  <c r="H479"/>
  <c r="K479"/>
  <c r="I479"/>
  <c r="B480"/>
  <c r="G480"/>
  <c r="G481"/>
  <c r="G482"/>
  <c r="F490"/>
  <c r="F495"/>
  <c r="I490"/>
  <c r="K490"/>
  <c r="K495"/>
  <c r="F491"/>
  <c r="I491"/>
  <c r="K491"/>
  <c r="F492"/>
  <c r="I492"/>
  <c r="K492"/>
  <c r="F493"/>
  <c r="I493"/>
  <c r="K493"/>
  <c r="I494"/>
  <c r="B495"/>
  <c r="G495"/>
  <c r="I495"/>
  <c r="F501"/>
  <c r="F508"/>
  <c r="I501"/>
  <c r="K501"/>
  <c r="F502"/>
  <c r="I502"/>
  <c r="K502"/>
  <c r="F503"/>
  <c r="I503"/>
  <c r="K503"/>
  <c r="F504"/>
  <c r="I504"/>
  <c r="K504"/>
  <c r="F505"/>
  <c r="I505"/>
  <c r="K505"/>
  <c r="F506"/>
  <c r="I506"/>
  <c r="K506"/>
  <c r="F507"/>
  <c r="G508"/>
  <c r="I508"/>
  <c r="B518"/>
  <c r="G518"/>
  <c r="G526"/>
  <c r="G529"/>
  <c r="I526"/>
  <c r="G527"/>
  <c r="I527"/>
  <c r="G528"/>
  <c r="I528"/>
  <c r="B529"/>
  <c r="F529"/>
  <c r="K529"/>
  <c r="F535"/>
  <c r="G535"/>
  <c r="K535"/>
  <c r="I535"/>
  <c r="F536"/>
  <c r="G536"/>
  <c r="K536"/>
  <c r="I536"/>
  <c r="F537"/>
  <c r="G537"/>
  <c r="K537"/>
  <c r="I537"/>
  <c r="F538"/>
  <c r="G544"/>
  <c r="G547"/>
  <c r="G545"/>
  <c r="G546"/>
  <c r="B547"/>
  <c r="G548"/>
  <c r="G549"/>
  <c r="F555"/>
  <c r="F560"/>
  <c r="I555"/>
  <c r="K555"/>
  <c r="F556"/>
  <c r="I556"/>
  <c r="K556"/>
  <c r="F557"/>
  <c r="I557"/>
  <c r="K557"/>
  <c r="F558"/>
  <c r="I558"/>
  <c r="K558"/>
  <c r="F559"/>
  <c r="I559"/>
  <c r="K559"/>
  <c r="F566"/>
  <c r="I566"/>
  <c r="K566"/>
  <c r="F567"/>
  <c r="I567"/>
  <c r="K567"/>
  <c r="F568"/>
  <c r="I568"/>
  <c r="K568"/>
  <c r="F569"/>
  <c r="F570"/>
  <c r="I569"/>
  <c r="K569"/>
  <c r="G570"/>
  <c r="I570"/>
  <c r="B579"/>
  <c r="G579"/>
  <c r="I579"/>
  <c r="F588"/>
  <c r="I588"/>
  <c r="K588"/>
  <c r="F589"/>
  <c r="I589"/>
  <c r="K589"/>
  <c r="K592"/>
  <c r="F590"/>
  <c r="F592"/>
  <c r="I590"/>
  <c r="K590"/>
  <c r="F591"/>
  <c r="K591"/>
  <c r="G592"/>
  <c r="I592"/>
  <c r="F598"/>
  <c r="I598"/>
  <c r="K598"/>
  <c r="F599"/>
  <c r="I599"/>
  <c r="K599"/>
  <c r="F600"/>
  <c r="I600"/>
  <c r="K600"/>
  <c r="F601"/>
  <c r="I601"/>
  <c r="K601"/>
  <c r="F602"/>
  <c r="F605"/>
  <c r="I602"/>
  <c r="K602"/>
  <c r="F603"/>
  <c r="I603"/>
  <c r="K603"/>
  <c r="F604"/>
  <c r="I604"/>
  <c r="K604"/>
  <c r="G605"/>
  <c r="I605"/>
  <c r="B614"/>
  <c r="G614"/>
  <c r="I614"/>
  <c r="G615"/>
  <c r="G616"/>
  <c r="F621"/>
  <c r="F629"/>
  <c r="I621"/>
  <c r="K621"/>
  <c r="F622"/>
  <c r="I622"/>
  <c r="K622"/>
  <c r="F623"/>
  <c r="I623"/>
  <c r="K623"/>
  <c r="F624"/>
  <c r="I624"/>
  <c r="K624"/>
  <c r="F625"/>
  <c r="I625"/>
  <c r="K625"/>
  <c r="F626"/>
  <c r="I626"/>
  <c r="K626"/>
  <c r="F627"/>
  <c r="I627"/>
  <c r="K627"/>
  <c r="I628"/>
  <c r="G629"/>
  <c r="I629"/>
  <c r="J629"/>
  <c r="F640"/>
  <c r="G640"/>
  <c r="K640"/>
  <c r="I640"/>
  <c r="F641"/>
  <c r="G641"/>
  <c r="K641"/>
  <c r="I641"/>
  <c r="F642"/>
  <c r="G642"/>
  <c r="K642"/>
  <c r="I642"/>
  <c r="G643"/>
  <c r="I643"/>
  <c r="G644"/>
  <c r="I644"/>
  <c r="F645"/>
  <c r="G645"/>
  <c r="K645"/>
  <c r="I645"/>
  <c r="F646"/>
  <c r="G646"/>
  <c r="K646"/>
  <c r="I646"/>
  <c r="F647"/>
  <c r="G647"/>
  <c r="K647"/>
  <c r="I647"/>
  <c r="G648"/>
  <c r="I648"/>
  <c r="F649"/>
  <c r="G649"/>
  <c r="K649"/>
  <c r="I649"/>
  <c r="B650"/>
  <c r="F650"/>
  <c r="I650"/>
  <c r="I651"/>
  <c r="F658"/>
  <c r="F664"/>
  <c r="I658"/>
  <c r="K658"/>
  <c r="F659"/>
  <c r="I659"/>
  <c r="K659"/>
  <c r="F660"/>
  <c r="I660"/>
  <c r="K660"/>
  <c r="F661"/>
  <c r="I661"/>
  <c r="K661"/>
  <c r="F662"/>
  <c r="I662"/>
  <c r="K662"/>
  <c r="F663"/>
  <c r="I663"/>
  <c r="K663"/>
  <c r="G670"/>
  <c r="G673"/>
  <c r="G672"/>
  <c r="B673"/>
  <c r="G674"/>
  <c r="G675"/>
  <c r="F681"/>
  <c r="G681"/>
  <c r="H681"/>
  <c r="I681"/>
  <c r="K681"/>
  <c r="F682"/>
  <c r="G682"/>
  <c r="K682"/>
  <c r="H682"/>
  <c r="I682"/>
  <c r="F683"/>
  <c r="G683"/>
  <c r="H683"/>
  <c r="I683"/>
  <c r="K683"/>
  <c r="F684"/>
  <c r="G684"/>
  <c r="H684"/>
  <c r="I684"/>
  <c r="K684"/>
  <c r="F685"/>
  <c r="K685"/>
  <c r="F686"/>
  <c r="F687"/>
  <c r="K686"/>
  <c r="F694"/>
  <c r="G694"/>
  <c r="K694"/>
  <c r="I694"/>
  <c r="F695"/>
  <c r="G695"/>
  <c r="K695"/>
  <c r="I695"/>
  <c r="F696"/>
  <c r="G696"/>
  <c r="K696"/>
  <c r="I696"/>
  <c r="F697"/>
  <c r="G697"/>
  <c r="K697"/>
  <c r="I697"/>
  <c r="F698"/>
  <c r="G698"/>
  <c r="K698"/>
  <c r="I698"/>
  <c r="F699"/>
  <c r="I699"/>
  <c r="K699"/>
  <c r="F700"/>
  <c r="F721"/>
  <c r="G700"/>
  <c r="I700"/>
  <c r="K700"/>
  <c r="F701"/>
  <c r="G701"/>
  <c r="I701"/>
  <c r="K701"/>
  <c r="F702"/>
  <c r="G702"/>
  <c r="I702"/>
  <c r="K702"/>
  <c r="F703"/>
  <c r="G703"/>
  <c r="I703"/>
  <c r="K703"/>
  <c r="F704"/>
  <c r="G704"/>
  <c r="I704"/>
  <c r="K704"/>
  <c r="F705"/>
  <c r="G705"/>
  <c r="I705"/>
  <c r="K705"/>
  <c r="F706"/>
  <c r="G706"/>
  <c r="I706"/>
  <c r="K706"/>
  <c r="F707"/>
  <c r="G707"/>
  <c r="I707"/>
  <c r="K707"/>
  <c r="F708"/>
  <c r="G708"/>
  <c r="I708"/>
  <c r="K708"/>
  <c r="G709"/>
  <c r="I709"/>
  <c r="F710"/>
  <c r="G710"/>
  <c r="K710"/>
  <c r="I710"/>
  <c r="F711"/>
  <c r="G711"/>
  <c r="K711"/>
  <c r="I711"/>
  <c r="G712"/>
  <c r="I712"/>
  <c r="F713"/>
  <c r="G713"/>
  <c r="I713"/>
  <c r="K713"/>
  <c r="F714"/>
  <c r="G714"/>
  <c r="I714"/>
  <c r="K714"/>
  <c r="F715"/>
  <c r="G715"/>
  <c r="I715"/>
  <c r="K715"/>
  <c r="G716"/>
  <c r="I716"/>
  <c r="F717"/>
  <c r="G717"/>
  <c r="K717"/>
  <c r="I717"/>
  <c r="F718"/>
  <c r="G718"/>
  <c r="K718"/>
  <c r="I718"/>
  <c r="F719"/>
  <c r="G719"/>
  <c r="K719"/>
  <c r="I719"/>
  <c r="F720"/>
  <c r="I720"/>
  <c r="K720"/>
  <c r="G722"/>
  <c r="G723"/>
  <c r="F728"/>
  <c r="F758"/>
  <c r="G728"/>
  <c r="K728"/>
  <c r="H728"/>
  <c r="I728"/>
  <c r="F729"/>
  <c r="G729"/>
  <c r="K729"/>
  <c r="H729"/>
  <c r="I729"/>
  <c r="F730"/>
  <c r="G730"/>
  <c r="H730"/>
  <c r="I730"/>
  <c r="K730"/>
  <c r="F731"/>
  <c r="G731"/>
  <c r="K731"/>
  <c r="H731"/>
  <c r="I731"/>
  <c r="F732"/>
  <c r="G732"/>
  <c r="K732"/>
  <c r="H732"/>
  <c r="I732"/>
  <c r="F733"/>
  <c r="G733"/>
  <c r="K733"/>
  <c r="H733"/>
  <c r="I733"/>
  <c r="F734"/>
  <c r="G734"/>
  <c r="H734"/>
  <c r="I734"/>
  <c r="K734"/>
  <c r="F735"/>
  <c r="G735"/>
  <c r="K735"/>
  <c r="H735"/>
  <c r="I735"/>
  <c r="F736"/>
  <c r="G736"/>
  <c r="K736"/>
  <c r="H736"/>
  <c r="I736"/>
  <c r="F737"/>
  <c r="G737"/>
  <c r="K737"/>
  <c r="H737"/>
  <c r="I737"/>
  <c r="F738"/>
  <c r="G738"/>
  <c r="H738"/>
  <c r="I738"/>
  <c r="K738"/>
  <c r="F739"/>
  <c r="G739"/>
  <c r="K739"/>
  <c r="H739"/>
  <c r="I739"/>
  <c r="F740"/>
  <c r="G740"/>
  <c r="K740"/>
  <c r="H740"/>
  <c r="I740"/>
  <c r="F741"/>
  <c r="G741"/>
  <c r="K741"/>
  <c r="H741"/>
  <c r="I741"/>
  <c r="F742"/>
  <c r="G742"/>
  <c r="H742"/>
  <c r="I742"/>
  <c r="K742"/>
  <c r="F743"/>
  <c r="G743"/>
  <c r="K743"/>
  <c r="H743"/>
  <c r="I743"/>
  <c r="F744"/>
  <c r="G744"/>
  <c r="K744"/>
  <c r="H744"/>
  <c r="I744"/>
  <c r="F745"/>
  <c r="G745"/>
  <c r="K745"/>
  <c r="H745"/>
  <c r="I745"/>
  <c r="F746"/>
  <c r="G746"/>
  <c r="H746"/>
  <c r="I746"/>
  <c r="K746"/>
  <c r="F747"/>
  <c r="G747"/>
  <c r="K747"/>
  <c r="H747"/>
  <c r="I747"/>
  <c r="F748"/>
  <c r="G748"/>
  <c r="K748"/>
  <c r="H748"/>
  <c r="I748"/>
  <c r="F749"/>
  <c r="G749"/>
  <c r="K749"/>
  <c r="H749"/>
  <c r="I749"/>
  <c r="F750"/>
  <c r="G750"/>
  <c r="H750"/>
  <c r="I750"/>
  <c r="K750"/>
  <c r="F751"/>
  <c r="G751"/>
  <c r="K751"/>
  <c r="H751"/>
  <c r="I751"/>
  <c r="F752"/>
  <c r="G752"/>
  <c r="K752"/>
  <c r="H752"/>
  <c r="I752"/>
  <c r="F753"/>
  <c r="G753"/>
  <c r="K753"/>
  <c r="H753"/>
  <c r="I753"/>
  <c r="F754"/>
  <c r="G754"/>
  <c r="H754"/>
  <c r="I754"/>
  <c r="K754"/>
  <c r="F755"/>
  <c r="G755"/>
  <c r="K755"/>
  <c r="H755"/>
  <c r="I755"/>
  <c r="F756"/>
  <c r="G756"/>
  <c r="K756"/>
  <c r="H756"/>
  <c r="I756"/>
  <c r="F757"/>
  <c r="G757"/>
  <c r="K757"/>
  <c r="H757"/>
  <c r="I757"/>
  <c r="G764"/>
  <c r="G777"/>
  <c r="I764"/>
  <c r="G765"/>
  <c r="I765"/>
  <c r="G766"/>
  <c r="I766"/>
  <c r="G767"/>
  <c r="I767"/>
  <c r="G768"/>
  <c r="I768"/>
  <c r="G769"/>
  <c r="I769"/>
  <c r="G770"/>
  <c r="I770"/>
  <c r="G771"/>
  <c r="I771"/>
  <c r="G772"/>
  <c r="I772"/>
  <c r="G773"/>
  <c r="I773"/>
  <c r="G774"/>
  <c r="I774"/>
  <c r="G775"/>
  <c r="I775"/>
  <c r="G776"/>
  <c r="I776"/>
  <c r="B777"/>
  <c r="G778"/>
  <c r="G779"/>
  <c r="I804"/>
  <c r="F812"/>
  <c r="G812"/>
  <c r="K812"/>
  <c r="F813"/>
  <c r="F830"/>
  <c r="B912"/>
  <c r="K813"/>
  <c r="F814"/>
  <c r="K814"/>
  <c r="F815"/>
  <c r="K815"/>
  <c r="F816"/>
  <c r="K816"/>
  <c r="F817"/>
  <c r="K817"/>
  <c r="F818"/>
  <c r="K818"/>
  <c r="F819"/>
  <c r="K819"/>
  <c r="F820"/>
  <c r="K820"/>
  <c r="F821"/>
  <c r="K821"/>
  <c r="F822"/>
  <c r="K822"/>
  <c r="F823"/>
  <c r="K823"/>
  <c r="F824"/>
  <c r="K824"/>
  <c r="F825"/>
  <c r="K825"/>
  <c r="F826"/>
  <c r="K826"/>
  <c r="F827"/>
  <c r="K827"/>
  <c r="F828"/>
  <c r="G828"/>
  <c r="K828"/>
  <c r="F829"/>
  <c r="G829"/>
  <c r="K829"/>
  <c r="B830"/>
  <c r="B873"/>
  <c r="F873"/>
  <c r="G830"/>
  <c r="G873"/>
  <c r="K873"/>
  <c r="I830"/>
  <c r="F836"/>
  <c r="F862"/>
  <c r="B913"/>
  <c r="G836"/>
  <c r="K836"/>
  <c r="F837"/>
  <c r="G837"/>
  <c r="K837"/>
  <c r="F838"/>
  <c r="G838"/>
  <c r="K838"/>
  <c r="F839"/>
  <c r="G839"/>
  <c r="F840"/>
  <c r="G840"/>
  <c r="K840"/>
  <c r="F841"/>
  <c r="K841"/>
  <c r="F842"/>
  <c r="K842"/>
  <c r="F843"/>
  <c r="K843"/>
  <c r="F844"/>
  <c r="K844"/>
  <c r="F845"/>
  <c r="K845"/>
  <c r="F846"/>
  <c r="K846"/>
  <c r="F847"/>
  <c r="K847"/>
  <c r="F848"/>
  <c r="K848"/>
  <c r="F849"/>
  <c r="K849"/>
  <c r="F850"/>
  <c r="K850"/>
  <c r="F851"/>
  <c r="K851"/>
  <c r="F852"/>
  <c r="K852"/>
  <c r="F853"/>
  <c r="K853"/>
  <c r="F854"/>
  <c r="K854"/>
  <c r="F855"/>
  <c r="K855"/>
  <c r="F856"/>
  <c r="K856"/>
  <c r="F857"/>
  <c r="K857"/>
  <c r="F858"/>
  <c r="K858"/>
  <c r="F859"/>
  <c r="K859"/>
  <c r="F860"/>
  <c r="K860"/>
  <c r="F861"/>
  <c r="G861"/>
  <c r="K861"/>
  <c r="B862"/>
  <c r="I862"/>
  <c r="G863"/>
  <c r="G864"/>
  <c r="F870"/>
  <c r="G870"/>
  <c r="K870"/>
  <c r="I870"/>
  <c r="F871"/>
  <c r="G871"/>
  <c r="K871"/>
  <c r="I871"/>
  <c r="F872"/>
  <c r="G872"/>
  <c r="K872"/>
  <c r="I872"/>
  <c r="B874"/>
  <c r="F874"/>
  <c r="G880"/>
  <c r="I880"/>
  <c r="B898"/>
  <c r="G898"/>
  <c r="G904"/>
  <c r="B904"/>
  <c r="J905"/>
  <c r="B928"/>
  <c r="G928"/>
  <c r="F930"/>
  <c r="G930"/>
  <c r="E931"/>
  <c r="G931"/>
  <c r="M931"/>
  <c r="F950"/>
  <c r="J950"/>
  <c r="F951"/>
  <c r="E36" i="5"/>
  <c r="F952" i="1"/>
  <c r="J952"/>
  <c r="E46" i="5"/>
  <c r="F963" i="1"/>
  <c r="J963"/>
  <c r="F964"/>
  <c r="J964"/>
  <c r="F965"/>
  <c r="J965"/>
  <c r="J966"/>
  <c r="J967"/>
  <c r="F983"/>
  <c r="G983"/>
  <c r="E984"/>
  <c r="G984"/>
  <c r="E988"/>
  <c r="G988"/>
  <c r="G991"/>
  <c r="F994"/>
  <c r="I994"/>
  <c r="F999"/>
  <c r="I999"/>
  <c r="F1001"/>
  <c r="F1003"/>
  <c r="F1004"/>
  <c r="I1004"/>
  <c r="S1011"/>
  <c r="Q1008"/>
  <c r="F1006"/>
  <c r="T1011"/>
  <c r="S1012"/>
  <c r="T1012"/>
  <c r="S1013"/>
  <c r="T1013"/>
  <c r="F1014"/>
  <c r="S1014"/>
  <c r="T1014"/>
  <c r="R1008"/>
  <c r="I1006"/>
  <c r="S1015"/>
  <c r="T1015"/>
  <c r="S1016"/>
  <c r="T1016"/>
  <c r="S1017"/>
  <c r="T1017"/>
  <c r="S1018"/>
  <c r="T1018"/>
  <c r="G1019"/>
  <c r="H1019"/>
  <c r="S1019"/>
  <c r="T1019"/>
  <c r="S1020"/>
  <c r="T1020"/>
  <c r="S1021"/>
  <c r="T1021"/>
  <c r="S1022"/>
  <c r="T1022"/>
  <c r="S1023"/>
  <c r="T1023"/>
  <c r="S1024"/>
  <c r="T1024"/>
  <c r="S1025"/>
  <c r="T1025"/>
  <c r="S1026"/>
  <c r="T1026"/>
  <c r="S1027"/>
  <c r="T1027"/>
  <c r="S1028"/>
  <c r="T1028"/>
  <c r="S1029"/>
  <c r="T1029"/>
  <c r="S1030"/>
  <c r="Q1009"/>
  <c r="F1007"/>
  <c r="T1030"/>
  <c r="R1009"/>
  <c r="I1007"/>
  <c r="S1031"/>
  <c r="T1031"/>
  <c r="C4" i="5"/>
  <c r="C5"/>
  <c r="E5"/>
  <c r="C6"/>
  <c r="E6"/>
  <c r="E7"/>
  <c r="E8"/>
  <c r="E13"/>
  <c r="E14"/>
  <c r="E15"/>
  <c r="E16"/>
  <c r="E17"/>
  <c r="E18"/>
  <c r="E19"/>
  <c r="E20"/>
  <c r="E21"/>
  <c r="E22"/>
  <c r="E23"/>
  <c r="E24"/>
  <c r="C25"/>
  <c r="E25"/>
  <c r="C26"/>
  <c r="E26"/>
  <c r="C29"/>
  <c r="C30"/>
  <c r="E30"/>
  <c r="E32"/>
  <c r="E33"/>
  <c r="E37"/>
  <c r="E43"/>
  <c r="E35" s="1"/>
  <c r="E45"/>
  <c r="E39"/>
  <c r="F5" i="4"/>
  <c r="F6"/>
  <c r="F8"/>
  <c r="E11"/>
  <c r="E12"/>
  <c r="E13"/>
  <c r="E14"/>
  <c r="E16"/>
  <c r="E17"/>
  <c r="E18"/>
  <c r="F18"/>
  <c r="E20"/>
  <c r="E21"/>
  <c r="E22"/>
  <c r="E25"/>
  <c r="D65"/>
  <c r="F65"/>
  <c r="D66"/>
  <c r="F66"/>
  <c r="D71"/>
  <c r="F71"/>
  <c r="K6" i="3"/>
  <c r="K7"/>
  <c r="I65"/>
  <c r="I117" s="1"/>
  <c r="K8"/>
  <c r="K9"/>
  <c r="K10"/>
  <c r="J12"/>
  <c r="J13"/>
  <c r="J14"/>
  <c r="C18"/>
  <c r="C19"/>
  <c r="C35"/>
  <c r="H35"/>
  <c r="C43"/>
  <c r="H43"/>
  <c r="J46"/>
  <c r="J48"/>
  <c r="E54"/>
  <c r="E56" s="1"/>
  <c r="H54"/>
  <c r="E10" i="5"/>
  <c r="F77" i="3"/>
  <c r="E27" i="5"/>
  <c r="F78" i="3"/>
  <c r="E28" i="5"/>
  <c r="F79" i="3"/>
  <c r="E29" i="5"/>
  <c r="J79" i="3"/>
  <c r="F81"/>
  <c r="K93"/>
  <c r="K94"/>
  <c r="K95"/>
  <c r="K96"/>
  <c r="K97"/>
  <c r="K98"/>
  <c r="K99"/>
  <c r="K100"/>
  <c r="K101"/>
  <c r="K102"/>
  <c r="K103"/>
  <c r="K104"/>
  <c r="K105"/>
  <c r="F106"/>
  <c r="H106"/>
  <c r="J106"/>
  <c r="K106"/>
  <c r="C108"/>
  <c r="H117"/>
  <c r="H155"/>
  <c r="K155"/>
  <c r="E31" i="5"/>
  <c r="J156" i="3"/>
  <c r="K156"/>
  <c r="F160"/>
  <c r="J160"/>
  <c r="K160"/>
  <c r="A2" i="6"/>
  <c r="C3"/>
  <c r="H3"/>
  <c r="C4"/>
  <c r="H4"/>
  <c r="C5"/>
  <c r="C6"/>
  <c r="C7"/>
  <c r="F10"/>
  <c r="H10"/>
  <c r="I10"/>
  <c r="L10"/>
  <c r="A11"/>
  <c r="F11"/>
  <c r="H11"/>
  <c r="I11"/>
  <c r="L11"/>
  <c r="A12"/>
  <c r="A13"/>
  <c r="A14"/>
  <c r="A15"/>
  <c r="A16"/>
  <c r="A17"/>
  <c r="A18"/>
  <c r="A19"/>
  <c r="A20"/>
  <c r="A21"/>
  <c r="F12"/>
  <c r="H12"/>
  <c r="I12"/>
  <c r="L12"/>
  <c r="F13"/>
  <c r="H13"/>
  <c r="I13"/>
  <c r="I22"/>
  <c r="G25"/>
  <c r="L13"/>
  <c r="F14"/>
  <c r="H14"/>
  <c r="I14"/>
  <c r="L14"/>
  <c r="F15"/>
  <c r="H15"/>
  <c r="I15"/>
  <c r="L15"/>
  <c r="F16"/>
  <c r="H16"/>
  <c r="I16"/>
  <c r="L16"/>
  <c r="F17"/>
  <c r="H17"/>
  <c r="I17"/>
  <c r="L17"/>
  <c r="F18"/>
  <c r="H18"/>
  <c r="I18"/>
  <c r="L18"/>
  <c r="F19"/>
  <c r="H19"/>
  <c r="I19"/>
  <c r="L19"/>
  <c r="F20"/>
  <c r="H20"/>
  <c r="I20"/>
  <c r="L20"/>
  <c r="F21"/>
  <c r="H21"/>
  <c r="I21"/>
  <c r="L21"/>
  <c r="G22"/>
  <c r="G24"/>
  <c r="F29"/>
  <c r="M29"/>
  <c r="F28"/>
  <c r="N29"/>
  <c r="O29"/>
  <c r="F30"/>
  <c r="P29"/>
  <c r="F31"/>
  <c r="Q29"/>
  <c r="R29"/>
  <c r="S29"/>
  <c r="M30"/>
  <c r="G28"/>
  <c r="N30"/>
  <c r="G29"/>
  <c r="O30"/>
  <c r="G30"/>
  <c r="P30"/>
  <c r="G31"/>
  <c r="Q30"/>
  <c r="R30"/>
  <c r="G33"/>
  <c r="S30"/>
  <c r="F32"/>
  <c r="G32"/>
  <c r="F33"/>
  <c r="F34"/>
  <c r="G34"/>
  <c r="F35"/>
  <c r="H35"/>
  <c r="F36"/>
  <c r="H36"/>
  <c r="F41"/>
  <c r="H41"/>
  <c r="F1" i="2"/>
  <c r="G1"/>
  <c r="N1"/>
  <c r="O1"/>
  <c r="W1"/>
  <c r="X1"/>
  <c r="B5"/>
  <c r="C5"/>
  <c r="B6"/>
  <c r="C6"/>
  <c r="G124" s="1"/>
  <c r="G125" s="1"/>
  <c r="B7"/>
  <c r="C7"/>
  <c r="B8"/>
  <c r="C8"/>
  <c r="C14"/>
  <c r="D14"/>
  <c r="F14"/>
  <c r="G14"/>
  <c r="I14"/>
  <c r="J14"/>
  <c r="N14"/>
  <c r="O14"/>
  <c r="P14"/>
  <c r="R14"/>
  <c r="S14"/>
  <c r="T14"/>
  <c r="U14" s="1"/>
  <c r="W14" s="1"/>
  <c r="C15"/>
  <c r="D15"/>
  <c r="F15"/>
  <c r="G15"/>
  <c r="I15"/>
  <c r="J15"/>
  <c r="N15"/>
  <c r="O15"/>
  <c r="O49" s="1"/>
  <c r="P15"/>
  <c r="R15"/>
  <c r="S15"/>
  <c r="C16"/>
  <c r="D16"/>
  <c r="F16"/>
  <c r="G16"/>
  <c r="I16"/>
  <c r="J16"/>
  <c r="N16"/>
  <c r="P16"/>
  <c r="O16"/>
  <c r="R16"/>
  <c r="S16"/>
  <c r="T16"/>
  <c r="U16"/>
  <c r="W16"/>
  <c r="C17"/>
  <c r="D17"/>
  <c r="F17"/>
  <c r="G17"/>
  <c r="I17"/>
  <c r="J17"/>
  <c r="N17"/>
  <c r="O17"/>
  <c r="R17"/>
  <c r="S17"/>
  <c r="C18"/>
  <c r="D18"/>
  <c r="F18"/>
  <c r="G18"/>
  <c r="I18"/>
  <c r="J18"/>
  <c r="N18"/>
  <c r="O18"/>
  <c r="P18"/>
  <c r="R18"/>
  <c r="S18"/>
  <c r="T18"/>
  <c r="U18"/>
  <c r="W18"/>
  <c r="C19"/>
  <c r="D19"/>
  <c r="F19"/>
  <c r="G19"/>
  <c r="I19"/>
  <c r="J19"/>
  <c r="N19"/>
  <c r="O19"/>
  <c r="P19"/>
  <c r="R19"/>
  <c r="S19"/>
  <c r="C20"/>
  <c r="D20"/>
  <c r="F20"/>
  <c r="G20"/>
  <c r="I20"/>
  <c r="J20"/>
  <c r="N20"/>
  <c r="P20"/>
  <c r="O20"/>
  <c r="R20"/>
  <c r="S20"/>
  <c r="T20"/>
  <c r="V20"/>
  <c r="C21"/>
  <c r="D21"/>
  <c r="F21"/>
  <c r="G21"/>
  <c r="I21"/>
  <c r="J21"/>
  <c r="N21"/>
  <c r="O21"/>
  <c r="R21"/>
  <c r="S21"/>
  <c r="C22"/>
  <c r="D22"/>
  <c r="F22"/>
  <c r="G22"/>
  <c r="I22"/>
  <c r="J22"/>
  <c r="N22"/>
  <c r="O22"/>
  <c r="P22"/>
  <c r="R22"/>
  <c r="S22"/>
  <c r="T22"/>
  <c r="U22"/>
  <c r="W22"/>
  <c r="C23"/>
  <c r="D23"/>
  <c r="F23"/>
  <c r="G23"/>
  <c r="I23"/>
  <c r="J23"/>
  <c r="N23"/>
  <c r="O23"/>
  <c r="P23"/>
  <c r="R23"/>
  <c r="S23"/>
  <c r="C24"/>
  <c r="D24"/>
  <c r="F24"/>
  <c r="G24"/>
  <c r="I24"/>
  <c r="J24"/>
  <c r="N24"/>
  <c r="P24"/>
  <c r="O24"/>
  <c r="R24"/>
  <c r="S24"/>
  <c r="T24"/>
  <c r="V24" s="1"/>
  <c r="U24"/>
  <c r="W24" s="1"/>
  <c r="C25"/>
  <c r="D25"/>
  <c r="F25"/>
  <c r="G25"/>
  <c r="I25"/>
  <c r="J25"/>
  <c r="O25"/>
  <c r="P25"/>
  <c r="R25"/>
  <c r="S25"/>
  <c r="T25"/>
  <c r="U25" s="1"/>
  <c r="W25" s="1"/>
  <c r="C26"/>
  <c r="D26"/>
  <c r="F26"/>
  <c r="G26"/>
  <c r="I26"/>
  <c r="J26"/>
  <c r="N26"/>
  <c r="O26"/>
  <c r="P26"/>
  <c r="R26"/>
  <c r="S26"/>
  <c r="C27"/>
  <c r="D27"/>
  <c r="F27"/>
  <c r="G27"/>
  <c r="I27"/>
  <c r="J27"/>
  <c r="N27"/>
  <c r="P27"/>
  <c r="O27"/>
  <c r="R27"/>
  <c r="S27"/>
  <c r="T27"/>
  <c r="U27"/>
  <c r="W27"/>
  <c r="C28"/>
  <c r="D28"/>
  <c r="F28"/>
  <c r="G28"/>
  <c r="I28"/>
  <c r="J28"/>
  <c r="N28"/>
  <c r="O28"/>
  <c r="R28"/>
  <c r="S28"/>
  <c r="C29"/>
  <c r="D29"/>
  <c r="F29"/>
  <c r="G29"/>
  <c r="I29"/>
  <c r="J29"/>
  <c r="O29"/>
  <c r="P29"/>
  <c r="R29"/>
  <c r="S29"/>
  <c r="C30"/>
  <c r="D30"/>
  <c r="F30"/>
  <c r="G30"/>
  <c r="I30"/>
  <c r="J30"/>
  <c r="O30"/>
  <c r="P30"/>
  <c r="R30"/>
  <c r="S30"/>
  <c r="C31"/>
  <c r="D31"/>
  <c r="F31"/>
  <c r="G31"/>
  <c r="I31"/>
  <c r="J31"/>
  <c r="O31"/>
  <c r="P31"/>
  <c r="R31"/>
  <c r="S31"/>
  <c r="C32"/>
  <c r="D32"/>
  <c r="F32"/>
  <c r="G32"/>
  <c r="I32"/>
  <c r="J32"/>
  <c r="O32"/>
  <c r="P32"/>
  <c r="R32"/>
  <c r="S32"/>
  <c r="U33"/>
  <c r="W33"/>
  <c r="V33"/>
  <c r="U34"/>
  <c r="W34"/>
  <c r="V34"/>
  <c r="F35"/>
  <c r="G35"/>
  <c r="I35"/>
  <c r="J35"/>
  <c r="O35"/>
  <c r="P35"/>
  <c r="R35"/>
  <c r="S35"/>
  <c r="U35"/>
  <c r="W35" s="1"/>
  <c r="V35"/>
  <c r="F36"/>
  <c r="G36"/>
  <c r="I36"/>
  <c r="J36"/>
  <c r="N36"/>
  <c r="O36"/>
  <c r="P36"/>
  <c r="R36"/>
  <c r="S36"/>
  <c r="C37"/>
  <c r="D37"/>
  <c r="F37"/>
  <c r="G37"/>
  <c r="I37"/>
  <c r="J37"/>
  <c r="N37"/>
  <c r="P37"/>
  <c r="O37"/>
  <c r="R37"/>
  <c r="S37"/>
  <c r="T37"/>
  <c r="V37" s="1"/>
  <c r="C38"/>
  <c r="D38"/>
  <c r="F38"/>
  <c r="G38"/>
  <c r="I38"/>
  <c r="J38"/>
  <c r="O38"/>
  <c r="P38"/>
  <c r="R38"/>
  <c r="S38"/>
  <c r="V38"/>
  <c r="W38"/>
  <c r="C39"/>
  <c r="D39"/>
  <c r="F39"/>
  <c r="G39"/>
  <c r="I39"/>
  <c r="J39"/>
  <c r="O39"/>
  <c r="P39"/>
  <c r="R39"/>
  <c r="S39"/>
  <c r="V39"/>
  <c r="W39"/>
  <c r="C40"/>
  <c r="D40"/>
  <c r="F40"/>
  <c r="G40"/>
  <c r="I40"/>
  <c r="J40"/>
  <c r="O40"/>
  <c r="P40"/>
  <c r="R40"/>
  <c r="S40"/>
  <c r="V40"/>
  <c r="W40"/>
  <c r="C41"/>
  <c r="D41"/>
  <c r="F41"/>
  <c r="G41"/>
  <c r="I41"/>
  <c r="J41"/>
  <c r="N41"/>
  <c r="O41"/>
  <c r="R41"/>
  <c r="S41"/>
  <c r="C42"/>
  <c r="D42"/>
  <c r="F42"/>
  <c r="G42"/>
  <c r="I42"/>
  <c r="J42"/>
  <c r="N42"/>
  <c r="O42"/>
  <c r="P42"/>
  <c r="R42"/>
  <c r="S42"/>
  <c r="T42"/>
  <c r="U42"/>
  <c r="W42" s="1"/>
  <c r="C43"/>
  <c r="D43"/>
  <c r="F43"/>
  <c r="G43"/>
  <c r="I43"/>
  <c r="J43"/>
  <c r="N43"/>
  <c r="O43"/>
  <c r="P43"/>
  <c r="R43"/>
  <c r="S43"/>
  <c r="C44"/>
  <c r="D44"/>
  <c r="F44"/>
  <c r="G44"/>
  <c r="I44"/>
  <c r="J44"/>
  <c r="N44"/>
  <c r="P44"/>
  <c r="O44"/>
  <c r="R44"/>
  <c r="S44"/>
  <c r="T44"/>
  <c r="V44" s="1"/>
  <c r="C53"/>
  <c r="C82" s="1"/>
  <c r="D53"/>
  <c r="F53"/>
  <c r="F82" s="1"/>
  <c r="G53"/>
  <c r="O53"/>
  <c r="O82" s="1"/>
  <c r="P53"/>
  <c r="R53"/>
  <c r="R82" s="1"/>
  <c r="C202" s="1"/>
  <c r="S53"/>
  <c r="U53"/>
  <c r="V53"/>
  <c r="C54"/>
  <c r="D54"/>
  <c r="F54"/>
  <c r="G54"/>
  <c r="O54"/>
  <c r="P54"/>
  <c r="R54"/>
  <c r="S54"/>
  <c r="S82" s="1"/>
  <c r="D202" s="1"/>
  <c r="U54"/>
  <c r="V54"/>
  <c r="C55"/>
  <c r="D55"/>
  <c r="D82" s="1"/>
  <c r="F55"/>
  <c r="G55"/>
  <c r="L55"/>
  <c r="M55"/>
  <c r="O55"/>
  <c r="P55"/>
  <c r="R55"/>
  <c r="S55"/>
  <c r="U55"/>
  <c r="V55"/>
  <c r="C56"/>
  <c r="D56"/>
  <c r="F56"/>
  <c r="G56"/>
  <c r="L56"/>
  <c r="M56"/>
  <c r="O56"/>
  <c r="P56"/>
  <c r="R56"/>
  <c r="S56"/>
  <c r="U56"/>
  <c r="V56"/>
  <c r="C59"/>
  <c r="D59"/>
  <c r="F59"/>
  <c r="G59"/>
  <c r="I59"/>
  <c r="J59"/>
  <c r="J82" s="1"/>
  <c r="O59"/>
  <c r="P59"/>
  <c r="R59"/>
  <c r="S59"/>
  <c r="U59"/>
  <c r="V59"/>
  <c r="C60"/>
  <c r="D60"/>
  <c r="F60"/>
  <c r="G60"/>
  <c r="I60"/>
  <c r="J60"/>
  <c r="O60"/>
  <c r="P60"/>
  <c r="R60"/>
  <c r="S60"/>
  <c r="U60"/>
  <c r="V60"/>
  <c r="C61"/>
  <c r="D61"/>
  <c r="F61"/>
  <c r="G61"/>
  <c r="I61"/>
  <c r="J61"/>
  <c r="O61"/>
  <c r="P61"/>
  <c r="R61"/>
  <c r="S61"/>
  <c r="U61"/>
  <c r="V61"/>
  <c r="C62"/>
  <c r="D62"/>
  <c r="F62"/>
  <c r="G62"/>
  <c r="I62"/>
  <c r="J62"/>
  <c r="O62"/>
  <c r="P62"/>
  <c r="R62"/>
  <c r="S62"/>
  <c r="U62"/>
  <c r="V62"/>
  <c r="C63"/>
  <c r="D63"/>
  <c r="F63"/>
  <c r="G63"/>
  <c r="I63"/>
  <c r="J63"/>
  <c r="O63"/>
  <c r="P63"/>
  <c r="R63"/>
  <c r="S63"/>
  <c r="U63"/>
  <c r="V63"/>
  <c r="C64"/>
  <c r="D64"/>
  <c r="F64"/>
  <c r="G64"/>
  <c r="L64"/>
  <c r="M64"/>
  <c r="O64"/>
  <c r="P64"/>
  <c r="R64"/>
  <c r="S64"/>
  <c r="U64"/>
  <c r="V64"/>
  <c r="C65"/>
  <c r="D65"/>
  <c r="F65"/>
  <c r="G65"/>
  <c r="L65"/>
  <c r="M65"/>
  <c r="O65"/>
  <c r="P65"/>
  <c r="R65"/>
  <c r="S65"/>
  <c r="U65"/>
  <c r="V65"/>
  <c r="C66"/>
  <c r="D66"/>
  <c r="F66"/>
  <c r="G66"/>
  <c r="L66"/>
  <c r="M66"/>
  <c r="O66"/>
  <c r="P66"/>
  <c r="R66"/>
  <c r="S66"/>
  <c r="U66"/>
  <c r="V66"/>
  <c r="C67"/>
  <c r="D67"/>
  <c r="F67"/>
  <c r="G67"/>
  <c r="I67"/>
  <c r="J67"/>
  <c r="O67"/>
  <c r="P67"/>
  <c r="R67"/>
  <c r="S67"/>
  <c r="U67"/>
  <c r="V67"/>
  <c r="C68"/>
  <c r="D68"/>
  <c r="F68"/>
  <c r="G68"/>
  <c r="I68"/>
  <c r="J68"/>
  <c r="O68"/>
  <c r="P68"/>
  <c r="R68"/>
  <c r="S68"/>
  <c r="U68"/>
  <c r="V68"/>
  <c r="C69"/>
  <c r="D69"/>
  <c r="F69"/>
  <c r="G69"/>
  <c r="O69"/>
  <c r="P69"/>
  <c r="R69"/>
  <c r="S69"/>
  <c r="U69"/>
  <c r="V69"/>
  <c r="V82" s="1"/>
  <c r="C70"/>
  <c r="D70"/>
  <c r="F70"/>
  <c r="G70"/>
  <c r="O70"/>
  <c r="P70"/>
  <c r="R70"/>
  <c r="S70"/>
  <c r="U70"/>
  <c r="V70"/>
  <c r="C71"/>
  <c r="D71"/>
  <c r="F71"/>
  <c r="G71"/>
  <c r="I71"/>
  <c r="J71"/>
  <c r="L71"/>
  <c r="M71"/>
  <c r="O71"/>
  <c r="P71"/>
  <c r="R71"/>
  <c r="S71"/>
  <c r="U71"/>
  <c r="V71"/>
  <c r="C72"/>
  <c r="D72"/>
  <c r="F72"/>
  <c r="G72"/>
  <c r="I72"/>
  <c r="J72"/>
  <c r="O72"/>
  <c r="P72"/>
  <c r="R72"/>
  <c r="S72"/>
  <c r="U72"/>
  <c r="V72"/>
  <c r="C73"/>
  <c r="D73"/>
  <c r="F73"/>
  <c r="G73"/>
  <c r="I73"/>
  <c r="J73"/>
  <c r="L73"/>
  <c r="M73"/>
  <c r="O73"/>
  <c r="P73"/>
  <c r="R73"/>
  <c r="S73"/>
  <c r="U73"/>
  <c r="V73"/>
  <c r="C74"/>
  <c r="D74"/>
  <c r="F74"/>
  <c r="G74"/>
  <c r="L74"/>
  <c r="M74"/>
  <c r="O74"/>
  <c r="P74"/>
  <c r="R74"/>
  <c r="S74"/>
  <c r="U74"/>
  <c r="V74"/>
  <c r="C75"/>
  <c r="D75"/>
  <c r="F75"/>
  <c r="G75"/>
  <c r="O75"/>
  <c r="P75"/>
  <c r="R75"/>
  <c r="S75"/>
  <c r="U75"/>
  <c r="V75"/>
  <c r="C76"/>
  <c r="D76"/>
  <c r="F76"/>
  <c r="G76"/>
  <c r="L76"/>
  <c r="M76"/>
  <c r="O76"/>
  <c r="P76"/>
  <c r="R76"/>
  <c r="S76"/>
  <c r="U76"/>
  <c r="V76"/>
  <c r="C77"/>
  <c r="D77"/>
  <c r="F77"/>
  <c r="G77"/>
  <c r="L77"/>
  <c r="M77"/>
  <c r="O77"/>
  <c r="P77"/>
  <c r="R77"/>
  <c r="S77"/>
  <c r="U77"/>
  <c r="V77"/>
  <c r="C78"/>
  <c r="D78"/>
  <c r="F78"/>
  <c r="G78"/>
  <c r="L78"/>
  <c r="M78"/>
  <c r="O78"/>
  <c r="P78"/>
  <c r="R78"/>
  <c r="S78"/>
  <c r="U78"/>
  <c r="V78"/>
  <c r="C79"/>
  <c r="D79"/>
  <c r="F79"/>
  <c r="G79"/>
  <c r="L79"/>
  <c r="M79"/>
  <c r="O79"/>
  <c r="P79"/>
  <c r="R79"/>
  <c r="S79"/>
  <c r="U79"/>
  <c r="V79"/>
  <c r="C80"/>
  <c r="D80"/>
  <c r="F80"/>
  <c r="G80"/>
  <c r="L80"/>
  <c r="M80"/>
  <c r="O80"/>
  <c r="P80"/>
  <c r="R80"/>
  <c r="S80"/>
  <c r="U80"/>
  <c r="V80"/>
  <c r="C81"/>
  <c r="D81"/>
  <c r="F81"/>
  <c r="G81"/>
  <c r="L81"/>
  <c r="M81"/>
  <c r="O81"/>
  <c r="P81"/>
  <c r="R81"/>
  <c r="S81"/>
  <c r="U81"/>
  <c r="V81"/>
  <c r="Q87"/>
  <c r="R87"/>
  <c r="S87"/>
  <c r="V87"/>
  <c r="W87"/>
  <c r="X87"/>
  <c r="Q88"/>
  <c r="R88"/>
  <c r="S88"/>
  <c r="V88"/>
  <c r="W88"/>
  <c r="X88" s="1"/>
  <c r="Q89"/>
  <c r="R89"/>
  <c r="S89"/>
  <c r="Q90"/>
  <c r="R90"/>
  <c r="S90"/>
  <c r="V90"/>
  <c r="W90"/>
  <c r="X90"/>
  <c r="Q91"/>
  <c r="R91"/>
  <c r="S91"/>
  <c r="V91"/>
  <c r="W91"/>
  <c r="X91" s="1"/>
  <c r="Q92"/>
  <c r="R92"/>
  <c r="S92"/>
  <c r="V92"/>
  <c r="W92"/>
  <c r="X92"/>
  <c r="Q93"/>
  <c r="R93"/>
  <c r="S93"/>
  <c r="V93"/>
  <c r="W93"/>
  <c r="X93" s="1"/>
  <c r="Q94"/>
  <c r="R94"/>
  <c r="S94"/>
  <c r="Q95"/>
  <c r="R95"/>
  <c r="S95"/>
  <c r="V95"/>
  <c r="W95"/>
  <c r="X95" s="1"/>
  <c r="Q96"/>
  <c r="R96"/>
  <c r="S96"/>
  <c r="V96"/>
  <c r="W96"/>
  <c r="X96"/>
  <c r="Q97"/>
  <c r="R97"/>
  <c r="S97"/>
  <c r="V97"/>
  <c r="W97"/>
  <c r="X97" s="1"/>
  <c r="Q98"/>
  <c r="R98"/>
  <c r="S98"/>
  <c r="V98"/>
  <c r="W98"/>
  <c r="X98"/>
  <c r="Q99"/>
  <c r="R99"/>
  <c r="S99"/>
  <c r="V99"/>
  <c r="W99"/>
  <c r="X99" s="1"/>
  <c r="B104"/>
  <c r="C104"/>
  <c r="B105"/>
  <c r="C105"/>
  <c r="B106"/>
  <c r="C106"/>
  <c r="B111"/>
  <c r="C111"/>
  <c r="B112"/>
  <c r="C112"/>
  <c r="B113"/>
  <c r="C113"/>
  <c r="B114"/>
  <c r="C114"/>
  <c r="B120"/>
  <c r="B125" s="1"/>
  <c r="C120"/>
  <c r="C125" s="1"/>
  <c r="D120"/>
  <c r="D125" s="1"/>
  <c r="E120"/>
  <c r="F120"/>
  <c r="G120"/>
  <c r="H120"/>
  <c r="I120"/>
  <c r="B121"/>
  <c r="C121"/>
  <c r="D121"/>
  <c r="E121"/>
  <c r="F121"/>
  <c r="G121"/>
  <c r="H121"/>
  <c r="I121"/>
  <c r="I125" s="1"/>
  <c r="D205" s="1"/>
  <c r="B122"/>
  <c r="C122"/>
  <c r="D122"/>
  <c r="E122"/>
  <c r="F122"/>
  <c r="G122"/>
  <c r="H122"/>
  <c r="I122"/>
  <c r="B123"/>
  <c r="C123"/>
  <c r="D123"/>
  <c r="E123"/>
  <c r="H123"/>
  <c r="I123"/>
  <c r="F124"/>
  <c r="H124"/>
  <c r="I124"/>
  <c r="C161"/>
  <c r="D161"/>
  <c r="H161"/>
  <c r="C162"/>
  <c r="D162"/>
  <c r="C163"/>
  <c r="D163"/>
  <c r="C164"/>
  <c r="C165"/>
  <c r="C166"/>
  <c r="D168"/>
  <c r="D164" s="1"/>
  <c r="D172"/>
  <c r="F172" s="1"/>
  <c r="F173"/>
  <c r="D174"/>
  <c r="F174"/>
  <c r="D175"/>
  <c r="F175"/>
  <c r="D176"/>
  <c r="F176"/>
  <c r="D177"/>
  <c r="F177"/>
  <c r="D178"/>
  <c r="F178"/>
  <c r="B179"/>
  <c r="D179"/>
  <c r="F179" s="1"/>
  <c r="I1003" i="1" s="1"/>
  <c r="D181" i="2"/>
  <c r="F181" s="1"/>
  <c r="D182"/>
  <c r="F182" s="1"/>
  <c r="D183"/>
  <c r="F183" s="1"/>
  <c r="D184"/>
  <c r="F184" s="1"/>
  <c r="F185"/>
  <c r="F186"/>
  <c r="D187"/>
  <c r="F187" s="1"/>
  <c r="D188"/>
  <c r="F188" s="1"/>
  <c r="D189"/>
  <c r="F189" s="1"/>
  <c r="D190"/>
  <c r="F190" s="1"/>
  <c r="D192"/>
  <c r="F192" s="1"/>
  <c r="D193"/>
  <c r="F193" s="1"/>
  <c r="D194"/>
  <c r="F194" s="1"/>
  <c r="D195"/>
  <c r="F195" s="1"/>
  <c r="D196"/>
  <c r="F196" s="1"/>
  <c r="E38" i="5"/>
  <c r="H22" i="6"/>
  <c r="V42" i="2"/>
  <c r="P41"/>
  <c r="P28"/>
  <c r="P49" s="1"/>
  <c r="V25"/>
  <c r="V22"/>
  <c r="P21"/>
  <c r="V18"/>
  <c r="P17"/>
  <c r="V14"/>
  <c r="F22" i="6"/>
  <c r="E34" i="5"/>
  <c r="G862" i="1"/>
  <c r="G874"/>
  <c r="K874"/>
  <c r="G650"/>
  <c r="K650"/>
  <c r="K442"/>
  <c r="K449"/>
  <c r="G876"/>
  <c r="K876"/>
  <c r="F109"/>
  <c r="D166" i="2"/>
  <c r="C27" i="5"/>
  <c r="T43" i="2"/>
  <c r="U43" s="1"/>
  <c r="W43" s="1"/>
  <c r="T36"/>
  <c r="V36"/>
  <c r="T26"/>
  <c r="U26"/>
  <c r="W26" s="1"/>
  <c r="T23"/>
  <c r="U23" s="1"/>
  <c r="W23" s="1"/>
  <c r="T19"/>
  <c r="V19"/>
  <c r="T15"/>
  <c r="U15"/>
  <c r="W15" s="1"/>
  <c r="E44" i="5"/>
  <c r="K412" i="1"/>
  <c r="G321"/>
  <c r="H324"/>
  <c r="G88"/>
  <c r="G64"/>
  <c r="D167" i="2"/>
  <c r="T41"/>
  <c r="V41"/>
  <c r="T28"/>
  <c r="U28"/>
  <c r="W28" s="1"/>
  <c r="T21"/>
  <c r="V21" s="1"/>
  <c r="T17"/>
  <c r="V17"/>
  <c r="B651" i="1"/>
  <c r="G651"/>
  <c r="K651"/>
  <c r="V28" i="2"/>
  <c r="U21"/>
  <c r="W21" s="1"/>
  <c r="V26"/>
  <c r="F25" i="6"/>
  <c r="F24"/>
  <c r="C28" i="5"/>
  <c r="V23" i="2"/>
  <c r="U19"/>
  <c r="W19"/>
  <c r="C23" i="5"/>
  <c r="C24"/>
  <c r="G924" i="1"/>
  <c r="J923"/>
  <c r="G926"/>
  <c r="F1"/>
  <c r="C9" i="5"/>
  <c r="K862" i="1"/>
  <c r="G913"/>
  <c r="B896"/>
  <c r="I8"/>
  <c r="K64"/>
  <c r="G890"/>
  <c r="C17" i="5"/>
  <c r="I9" i="1"/>
  <c r="H56" i="3"/>
  <c r="E12" i="5" s="1"/>
  <c r="K629" i="1"/>
  <c r="K605"/>
  <c r="K560"/>
  <c r="K538"/>
  <c r="K508"/>
  <c r="F406"/>
  <c r="B893"/>
  <c r="K321"/>
  <c r="K88"/>
  <c r="C15" i="5"/>
  <c r="K652" i="1"/>
  <c r="K570"/>
  <c r="K480"/>
  <c r="G895"/>
  <c r="K463"/>
  <c r="G789"/>
  <c r="B804"/>
  <c r="B806"/>
  <c r="B911"/>
  <c r="C7" i="5"/>
  <c r="B897" i="1"/>
  <c r="B905"/>
  <c r="K830"/>
  <c r="G912"/>
  <c r="K758"/>
  <c r="K721"/>
  <c r="K687"/>
  <c r="K664"/>
  <c r="K432"/>
  <c r="G894"/>
  <c r="K406"/>
  <c r="G893"/>
  <c r="K395"/>
  <c r="G785"/>
  <c r="G804"/>
  <c r="G806"/>
  <c r="G911"/>
  <c r="B892"/>
  <c r="J927"/>
  <c r="F2"/>
  <c r="H125" i="2"/>
  <c r="C205" s="1"/>
  <c r="C107"/>
  <c r="Q100"/>
  <c r="M82"/>
  <c r="S49"/>
  <c r="D49"/>
  <c r="G450" i="1"/>
  <c r="F82" i="3"/>
  <c r="G432" i="1"/>
  <c r="K138"/>
  <c r="K171"/>
  <c r="G892"/>
  <c r="E125" i="2"/>
  <c r="B115"/>
  <c r="C204" s="1"/>
  <c r="S100"/>
  <c r="I82"/>
  <c r="L82"/>
  <c r="U82"/>
  <c r="G49"/>
  <c r="G463" i="1"/>
  <c r="L1" i="2"/>
  <c r="U1"/>
  <c r="F651" i="1"/>
  <c r="F652"/>
  <c r="V15" i="2"/>
  <c r="F125"/>
  <c r="C115"/>
  <c r="D204" s="1"/>
  <c r="P82"/>
  <c r="G82"/>
  <c r="U37"/>
  <c r="W37" s="1"/>
  <c r="U20"/>
  <c r="W20" s="1"/>
  <c r="I49"/>
  <c r="V16"/>
  <c r="C49"/>
  <c r="J951" i="1"/>
  <c r="K94"/>
  <c r="K100"/>
  <c r="D1" i="2"/>
  <c r="U36"/>
  <c r="W36" s="1"/>
  <c r="U17"/>
  <c r="W17" s="1"/>
  <c r="B107"/>
  <c r="V100"/>
  <c r="C203"/>
  <c r="F49"/>
  <c r="R49"/>
  <c r="J49"/>
  <c r="J968" i="1"/>
  <c r="G972" s="1"/>
  <c r="U41" i="2"/>
  <c r="W41"/>
  <c r="C167"/>
  <c r="V27"/>
  <c r="V43"/>
  <c r="G877" i="1"/>
  <c r="K877"/>
  <c r="B877"/>
  <c r="F877"/>
  <c r="F880"/>
  <c r="B914"/>
  <c r="C12" i="5"/>
  <c r="C14"/>
  <c r="H59" i="3"/>
  <c r="K110" i="1"/>
  <c r="G891"/>
  <c r="E40" i="5"/>
  <c r="J953" i="1"/>
  <c r="C18" i="5"/>
  <c r="C8"/>
  <c r="G896" i="1"/>
  <c r="E891"/>
  <c r="C11" i="5"/>
  <c r="E892" i="1"/>
  <c r="C13" i="5"/>
  <c r="E893" i="1"/>
  <c r="C19" i="5"/>
  <c r="E896" i="1"/>
  <c r="E890"/>
  <c r="E894"/>
  <c r="E895"/>
  <c r="C16" i="5"/>
  <c r="B915" i="1"/>
  <c r="B921"/>
  <c r="E928"/>
  <c r="B924"/>
  <c r="B926" s="1"/>
  <c r="C21" i="5"/>
  <c r="C10"/>
  <c r="J891" i="1"/>
  <c r="C20" i="5"/>
  <c r="G897" i="1"/>
  <c r="G905"/>
  <c r="J892"/>
  <c r="J894"/>
  <c r="J895"/>
  <c r="J893"/>
  <c r="J890"/>
  <c r="J896"/>
  <c r="E11" i="5" l="1"/>
  <c r="E59" i="3"/>
  <c r="T1" i="2"/>
  <c r="K1"/>
  <c r="C1"/>
  <c r="D1" i="1"/>
  <c r="E927"/>
  <c r="D2" s="1"/>
  <c r="K160" i="2"/>
  <c r="J1" i="1"/>
  <c r="C22" i="5"/>
  <c r="J928" i="1"/>
  <c r="V49" i="2"/>
  <c r="X100"/>
  <c r="D203" s="1"/>
  <c r="F197"/>
  <c r="E923" i="1"/>
  <c r="I1001"/>
  <c r="H970"/>
  <c r="E9" i="5"/>
  <c r="D197" i="2"/>
  <c r="D165"/>
  <c r="U44"/>
  <c r="W44" s="1"/>
  <c r="W49" s="1"/>
  <c r="D201" s="1"/>
  <c r="D207" s="1"/>
  <c r="D208" s="1"/>
  <c r="C201" l="1"/>
  <c r="C207" s="1"/>
  <c r="C208" s="1"/>
  <c r="B9"/>
  <c r="I946" i="1"/>
  <c r="B955" s="1"/>
  <c r="I1" s="1"/>
  <c r="E42" i="5"/>
</calcChain>
</file>

<file path=xl/sharedStrings.xml><?xml version="1.0" encoding="utf-8"?>
<sst xmlns="http://schemas.openxmlformats.org/spreadsheetml/2006/main" count="2447" uniqueCount="1375">
  <si>
    <t>Prix moyens corrigés en fonction des prix appliqués par UTRA, FETOURAG, et la fédération des gîtes ruraux de Wallonie.</t>
  </si>
  <si>
    <t>Poires:</t>
  </si>
  <si>
    <t>Pommes:</t>
  </si>
  <si>
    <t>Noyaux:</t>
  </si>
  <si>
    <t>Petits fruits:</t>
  </si>
  <si>
    <t>Fraises:</t>
  </si>
  <si>
    <t>-Choux cabus</t>
  </si>
  <si>
    <t>-Endives/Scaroles</t>
  </si>
  <si>
    <t>-Épinards</t>
  </si>
  <si>
    <t>-Doyenné</t>
  </si>
  <si>
    <t>-Braeburn</t>
  </si>
  <si>
    <t>-Mutants de Jonagold</t>
  </si>
  <si>
    <t>-Électricité</t>
  </si>
  <si>
    <t>-Entretiens et réparations</t>
  </si>
  <si>
    <t>-Location terres et bâtiments</t>
  </si>
  <si>
    <t>6a, Production</t>
  </si>
  <si>
    <t>Génisses &gt; 2ans</t>
  </si>
  <si>
    <t>Génisses 1 an à 2 ans</t>
  </si>
  <si>
    <t>Génisses 6 mois à 1 an</t>
  </si>
  <si>
    <t>Vaches de réforme</t>
  </si>
  <si>
    <t>Génisses &lt; 6 mois</t>
  </si>
  <si>
    <t>Taureaux reproducteurs</t>
  </si>
  <si>
    <t>Génisses laitières</t>
  </si>
  <si>
    <t>Génisses viandeuses</t>
  </si>
  <si>
    <t>Génisses lait. pleines</t>
  </si>
  <si>
    <t>Génisses lait. &gt; 2ans</t>
  </si>
  <si>
    <t>Génisses lait. 1 an à 2 ans</t>
  </si>
  <si>
    <t>Génisses lait. 6 mois à 1 an</t>
  </si>
  <si>
    <t>Génisses lait. &lt; 6 mois</t>
  </si>
  <si>
    <t>Vaches lait. de réforme</t>
  </si>
  <si>
    <t>Vaches viand. de réforme</t>
  </si>
  <si>
    <t>Génisses viand. pleines</t>
  </si>
  <si>
    <t>Génisses viand. &gt; 2ans</t>
  </si>
  <si>
    <t>Génisses viand. 1 an à 2 ans</t>
  </si>
  <si>
    <t>Génisses viand. 6 mois à 1 an</t>
  </si>
  <si>
    <t>Génisses viand. &lt; 6 mois</t>
  </si>
  <si>
    <t>15. Secteurs traditionnels.</t>
  </si>
  <si>
    <t>(kg ou pi/ha)</t>
  </si>
  <si>
    <t>-Conférence</t>
  </si>
  <si>
    <t>-Jonagold</t>
  </si>
  <si>
    <t>-Boskoop</t>
  </si>
  <si>
    <t>-Golden</t>
  </si>
  <si>
    <t>-Gala</t>
  </si>
  <si>
    <t>-Greenstar</t>
  </si>
  <si>
    <t>-Elstar</t>
  </si>
  <si>
    <t>-Cox</t>
  </si>
  <si>
    <t>-Cidre</t>
  </si>
  <si>
    <t>-Prunes</t>
  </si>
  <si>
    <t>-Cerises douces</t>
  </si>
  <si>
    <t>-Griottes</t>
  </si>
  <si>
    <t>-Groseilles</t>
  </si>
  <si>
    <t>-Framboises</t>
  </si>
  <si>
    <t>-Raisins</t>
  </si>
  <si>
    <t>-Pleine terre</t>
  </si>
  <si>
    <t>-Tunnel</t>
  </si>
  <si>
    <t>-Cresson</t>
  </si>
  <si>
    <t>-Médicinales</t>
  </si>
  <si>
    <t>-Condimentaires</t>
  </si>
  <si>
    <t>17. Amortissement du matériel.</t>
  </si>
  <si>
    <t>18. Intérêts des capitaux investis</t>
  </si>
  <si>
    <t>19. Produit total.</t>
  </si>
  <si>
    <t>20. Charges totales.</t>
  </si>
  <si>
    <t>21. Revenu du travail.</t>
  </si>
  <si>
    <t>POUR LE DOSSIER PAPIER - JOINDRE UNIQUEMENT LE TABLEAU RESULTATS (produits, charges, revenu du travail)</t>
  </si>
  <si>
    <t>Revenu/UHT:</t>
  </si>
  <si>
    <t>UGB/Ha:</t>
  </si>
  <si>
    <t>N° F.I.A.:</t>
  </si>
  <si>
    <t>Budgets globaux de l'exploitation agricole et/ou horticole.</t>
  </si>
  <si>
    <t>Date:</t>
  </si>
  <si>
    <t>Nom:</t>
  </si>
  <si>
    <t>Prénom:</t>
  </si>
  <si>
    <t xml:space="preserve">Exploitation de </t>
  </si>
  <si>
    <t>ha en origine</t>
  </si>
  <si>
    <t>Adresse:</t>
  </si>
  <si>
    <t>ha en fin</t>
  </si>
  <si>
    <t>Code postal:</t>
  </si>
  <si>
    <t>Localité:</t>
  </si>
  <si>
    <t>Province:</t>
  </si>
  <si>
    <t xml:space="preserve">Région agricole </t>
  </si>
  <si>
    <t>N° U.P.:</t>
  </si>
  <si>
    <t>N° Producteur:</t>
  </si>
  <si>
    <t>Productions Végétales:</t>
  </si>
  <si>
    <t>Origine</t>
  </si>
  <si>
    <t>Fin</t>
  </si>
  <si>
    <t>Cultures et</t>
  </si>
  <si>
    <t>Sup.</t>
  </si>
  <si>
    <t>Rendts</t>
  </si>
  <si>
    <t>Prix</t>
  </si>
  <si>
    <t>Qté cons.</t>
  </si>
  <si>
    <t>Vente</t>
  </si>
  <si>
    <t>sous-produits</t>
  </si>
  <si>
    <t>Céréales:</t>
  </si>
  <si>
    <t>-Froment</t>
  </si>
  <si>
    <t>-Escourgeon</t>
  </si>
  <si>
    <t>-Avoine</t>
  </si>
  <si>
    <t>-Triticale</t>
  </si>
  <si>
    <t>-Maïs grain</t>
  </si>
  <si>
    <t>-Seigle</t>
  </si>
  <si>
    <t>-Epeautre</t>
  </si>
  <si>
    <t>-Orge de brasserie</t>
  </si>
  <si>
    <t>-Blé de printemps</t>
  </si>
  <si>
    <t>Cult.sarclées:</t>
  </si>
  <si>
    <t>-Bett.sucr.</t>
  </si>
  <si>
    <t>-P.de terre hâtives</t>
  </si>
  <si>
    <t>-P.de terre mi-hâtives</t>
  </si>
  <si>
    <t>-P.de terre tardives</t>
  </si>
  <si>
    <t>-P.de terre spéciales</t>
  </si>
  <si>
    <t>-Chicorées à sucre</t>
  </si>
  <si>
    <t>Autres cult.agr.</t>
  </si>
  <si>
    <t>-Pois protéagineux</t>
  </si>
  <si>
    <t>-----------</t>
  </si>
  <si>
    <t>-Féveroles</t>
  </si>
  <si>
    <t>-Lin (Fibre)</t>
  </si>
  <si>
    <t>-Lin oléagineux</t>
  </si>
  <si>
    <t>-Colza (Huile)</t>
  </si>
  <si>
    <t>-Tournesol (Huile)</t>
  </si>
  <si>
    <t>-Sarrazin</t>
  </si>
  <si>
    <t>Production semences</t>
  </si>
  <si>
    <t>-Céréales</t>
  </si>
  <si>
    <t>-Graminées prairiales</t>
  </si>
  <si>
    <t>Cult. s/contrat</t>
  </si>
  <si>
    <t>-Lin</t>
  </si>
  <si>
    <t>-Pommes de terre</t>
  </si>
  <si>
    <t>Sous-prod.vendus</t>
  </si>
  <si>
    <t>-Pailles</t>
  </si>
  <si>
    <t>----------</t>
  </si>
  <si>
    <t>-Pulpes B.S.</t>
  </si>
  <si>
    <t>-Pulpes Ch.Fr.</t>
  </si>
  <si>
    <t>Total général:</t>
  </si>
  <si>
    <t>---------</t>
  </si>
  <si>
    <t>-------</t>
  </si>
  <si>
    <t>Culture principale:</t>
  </si>
  <si>
    <t>Ha</t>
  </si>
  <si>
    <t>Culture dérobée:</t>
  </si>
  <si>
    <t>vente</t>
  </si>
  <si>
    <t>Prairies pâturées</t>
  </si>
  <si>
    <t>-------------</t>
  </si>
  <si>
    <t>------------</t>
  </si>
  <si>
    <t>Prairies fauchées</t>
  </si>
  <si>
    <t>Bett. fourragères</t>
  </si>
  <si>
    <t>Autres racines fourr.</t>
  </si>
  <si>
    <t>Choux fourragers</t>
  </si>
  <si>
    <t>Autres crucifères fourr.</t>
  </si>
  <si>
    <t>Maïs fourrage</t>
  </si>
  <si>
    <t>Tournesol à ensiler</t>
  </si>
  <si>
    <t>Ray-grass anglais</t>
  </si>
  <si>
    <t>Ray-grass italien</t>
  </si>
  <si>
    <t>engrais verts</t>
  </si>
  <si>
    <t>--------</t>
  </si>
  <si>
    <t>Jachères:</t>
  </si>
  <si>
    <t>-couvert spontané</t>
  </si>
  <si>
    <t>-couvert semé</t>
  </si>
  <si>
    <t>Jachères non-food:</t>
  </si>
  <si>
    <t>-Colza (diesther)</t>
  </si>
  <si>
    <t>Total jachères</t>
  </si>
  <si>
    <t>Terres agri. boisées</t>
  </si>
  <si>
    <t>Agri-environnement</t>
  </si>
  <si>
    <t>Total  MAE</t>
  </si>
  <si>
    <t>Quota livraison lait</t>
  </si>
  <si>
    <t>litres</t>
  </si>
  <si>
    <t>Quota vente directe</t>
  </si>
  <si>
    <t>dont, livrés en laiterie</t>
  </si>
  <si>
    <t>Droit livraison B.S.</t>
  </si>
  <si>
    <t>T. de betteraves à 16%</t>
  </si>
  <si>
    <t>(sucrerie:</t>
  </si>
  <si>
    <t xml:space="preserve"> ) N.B.: livraisons "C" à</t>
  </si>
  <si>
    <t>Prime axe:</t>
  </si>
  <si>
    <t>NON</t>
  </si>
  <si>
    <t>Droit livrais. chicorée</t>
  </si>
  <si>
    <t>T. de chicorées à 17%</t>
  </si>
  <si>
    <t>(fructoserie:</t>
  </si>
  <si>
    <t xml:space="preserve"> ) N.B.: livraisons excédentaires à</t>
  </si>
  <si>
    <t>Quota plant. tabac</t>
  </si>
  <si>
    <t>Quota primes V. All.</t>
  </si>
  <si>
    <t>primes</t>
  </si>
  <si>
    <t>Quota primes brebis</t>
  </si>
  <si>
    <t>Cultures</t>
  </si>
  <si>
    <t>Superficie</t>
  </si>
  <si>
    <t>Rendt</t>
  </si>
  <si>
    <t>prix</t>
  </si>
  <si>
    <t>1,Cult. agri. part.:</t>
  </si>
  <si>
    <t>-Tabac "Flobecq"</t>
  </si>
  <si>
    <t>-Tabac "Virginie"</t>
  </si>
  <si>
    <t>-Houblon</t>
  </si>
  <si>
    <t>2, Petits fruits:</t>
  </si>
  <si>
    <t>-Fraises (plastiques)</t>
  </si>
  <si>
    <t>3, Plantes médic.:</t>
  </si>
  <si>
    <t>-Angélique</t>
  </si>
  <si>
    <t>-Camomille</t>
  </si>
  <si>
    <t>4, Légumes:</t>
  </si>
  <si>
    <t>-Pois conserverie</t>
  </si>
  <si>
    <t>-Haricots princesses</t>
  </si>
  <si>
    <t>-Carottes (petites)</t>
  </si>
  <si>
    <t>-Carottes (hivers)</t>
  </si>
  <si>
    <t>-Salsifis</t>
  </si>
  <si>
    <t>-Choux de Bruxelles</t>
  </si>
  <si>
    <t>-Choux cabus/Milan</t>
  </si>
  <si>
    <t>-Choux-fleurs</t>
  </si>
  <si>
    <t>-Epinards branch.</t>
  </si>
  <si>
    <t>-Epinards hachés</t>
  </si>
  <si>
    <t>-Oignons semis</t>
  </si>
  <si>
    <t>-Oignons Mulhouse</t>
  </si>
  <si>
    <t>-Plants P. de Terre</t>
  </si>
  <si>
    <t>-Chicons racines</t>
  </si>
  <si>
    <t>-Chicons forçage</t>
  </si>
  <si>
    <t>-Cornichons pal.</t>
  </si>
  <si>
    <t>-Céléris-raves</t>
  </si>
  <si>
    <t>-Navets</t>
  </si>
  <si>
    <t>-Laitues (2 Var. succ.)</t>
  </si>
  <si>
    <t>-Scaroles</t>
  </si>
  <si>
    <t>-Mâche</t>
  </si>
  <si>
    <t>-Poireaux repiqués</t>
  </si>
  <si>
    <t>-Poireaux sem. repiq.</t>
  </si>
  <si>
    <t>Total Général</t>
  </si>
  <si>
    <t>dont en deuxième culture:</t>
  </si>
  <si>
    <t>ares</t>
  </si>
  <si>
    <t>Superficie effective</t>
  </si>
  <si>
    <t>hectares</t>
  </si>
  <si>
    <t>Catégories</t>
  </si>
  <si>
    <t>Total annuel</t>
  </si>
  <si>
    <t>Observations</t>
  </si>
  <si>
    <t>Semences</t>
  </si>
  <si>
    <t>Engrais</t>
  </si>
  <si>
    <t>Produits phyto.</t>
  </si>
  <si>
    <t>Travaux tiers</t>
  </si>
  <si>
    <t>Frais spécifiques</t>
  </si>
  <si>
    <t>Carb./chauf./Forçage</t>
  </si>
  <si>
    <t>M.O. occasionnelle</t>
  </si>
  <si>
    <t>------------------------</t>
  </si>
  <si>
    <t>Productions animales</t>
  </si>
  <si>
    <t>Nombre moyen</t>
  </si>
  <si>
    <t>Prix moyen</t>
  </si>
  <si>
    <t>Capital</t>
  </si>
  <si>
    <t>par an</t>
  </si>
  <si>
    <t>moyen</t>
  </si>
  <si>
    <t>Vaches P.N./P.R.</t>
  </si>
  <si>
    <t>vaches de réforme</t>
  </si>
  <si>
    <t>Génisses pleines</t>
  </si>
  <si>
    <t>Génisses de&gt;1 an</t>
  </si>
  <si>
    <t>Génisses de &lt;6 mois</t>
  </si>
  <si>
    <t>Vaches B.B.B.</t>
  </si>
  <si>
    <t>Vaches réf. B.B.B.</t>
  </si>
  <si>
    <t>Génisses pl. B.B.B.</t>
  </si>
  <si>
    <t>Génisses &gt;1 an B.B.B.</t>
  </si>
  <si>
    <t>Génisses &lt;6 m. vian.</t>
  </si>
  <si>
    <t>Veaux mâles</t>
  </si>
  <si>
    <t>Bétail gras</t>
  </si>
  <si>
    <t>Taurillons</t>
  </si>
  <si>
    <t>Total général</t>
  </si>
  <si>
    <t>-------------------------</t>
  </si>
  <si>
    <t>Nombre de vaches traites:</t>
  </si>
  <si>
    <t>Montant</t>
  </si>
  <si>
    <t>Vaches laitières</t>
  </si>
  <si>
    <t>Vaches allaitantes</t>
  </si>
  <si>
    <t>Veaux</t>
  </si>
  <si>
    <t>Total</t>
  </si>
  <si>
    <t>------------------</t>
  </si>
  <si>
    <t>-------------------</t>
  </si>
  <si>
    <t>Catégorie</t>
  </si>
  <si>
    <t>Qté vendue</t>
  </si>
  <si>
    <t>Produit</t>
  </si>
  <si>
    <t>Lait entier</t>
  </si>
  <si>
    <t>crème</t>
  </si>
  <si>
    <t>Beurre</t>
  </si>
  <si>
    <t>Lait écrèmé</t>
  </si>
  <si>
    <t>Autres</t>
  </si>
  <si>
    <t>--------------</t>
  </si>
  <si>
    <t>N. moy.</t>
  </si>
  <si>
    <t>Poids</t>
  </si>
  <si>
    <t>montant</t>
  </si>
  <si>
    <t>/an</t>
  </si>
  <si>
    <t>Reproducteurs</t>
  </si>
  <si>
    <t>Saillies</t>
  </si>
  <si>
    <t>Truies d'élevage</t>
  </si>
  <si>
    <t>Jeunes truies</t>
  </si>
  <si>
    <t>Truies de réforme</t>
  </si>
  <si>
    <t>Verrats</t>
  </si>
  <si>
    <t>Porcs à l'engrais</t>
  </si>
  <si>
    <t>Porcelets</t>
  </si>
  <si>
    <t>Porcs sous-contrat</t>
  </si>
  <si>
    <t>Nombre de places</t>
  </si>
  <si>
    <t>Nombre</t>
  </si>
  <si>
    <t>Nombre total d'hectares nécéssaire à la fin du plan d'amélioration, à la nourriture des porcs:</t>
  </si>
  <si>
    <t>Porcs gras</t>
  </si>
  <si>
    <t>Porcs sous contrat</t>
  </si>
  <si>
    <t>6.1. Chevaux</t>
  </si>
  <si>
    <t>Juments</t>
  </si>
  <si>
    <t>Pouliches</t>
  </si>
  <si>
    <t>Etalons</t>
  </si>
  <si>
    <t>Poulains</t>
  </si>
  <si>
    <t>Chevaux en pension</t>
  </si>
  <si>
    <t>---------------------</t>
  </si>
  <si>
    <t>Total:</t>
  </si>
  <si>
    <t>----------------</t>
  </si>
  <si>
    <t>Bêtes de réforme</t>
  </si>
  <si>
    <t>Pouliches d'élevage</t>
  </si>
  <si>
    <t>Etalons d'élevage</t>
  </si>
  <si>
    <t>Poulains boucherie</t>
  </si>
  <si>
    <t>Pension de chevaux</t>
  </si>
  <si>
    <t>Lait de jument</t>
  </si>
  <si>
    <t>-----------------</t>
  </si>
  <si>
    <t>Remarques</t>
  </si>
  <si>
    <t>Achats d'animaux</t>
  </si>
  <si>
    <t>Aliments achetés</t>
  </si>
  <si>
    <t>Charges d'élevage</t>
  </si>
  <si>
    <t>(Vétérinaire, saillies,...)</t>
  </si>
  <si>
    <t>Charges d'emploi</t>
  </si>
  <si>
    <t>(Maréchalerie, cotisations,...</t>
  </si>
  <si>
    <t>6.2. Anes</t>
  </si>
  <si>
    <t>Anesses</t>
  </si>
  <si>
    <t>Mâles reproduct.</t>
  </si>
  <si>
    <t>Anons</t>
  </si>
  <si>
    <t>Lait d'ânesse</t>
  </si>
  <si>
    <t>Animaux réforme</t>
  </si>
  <si>
    <t xml:space="preserve">   -------------</t>
  </si>
  <si>
    <t xml:space="preserve">    -----------------</t>
  </si>
  <si>
    <t xml:space="preserve">   ---------------</t>
  </si>
  <si>
    <t xml:space="preserve">     ----------------</t>
  </si>
  <si>
    <t>Achat d'animaux</t>
  </si>
  <si>
    <t>Aliments</t>
  </si>
  <si>
    <t>(Vétérinaire,saillies,...)</t>
  </si>
  <si>
    <t>Brebis en production</t>
  </si>
  <si>
    <t>Antenaises</t>
  </si>
  <si>
    <t>Agnelles</t>
  </si>
  <si>
    <t>Béliers</t>
  </si>
  <si>
    <t>Agneaux à l'engrais</t>
  </si>
  <si>
    <t>Animaux de réforme</t>
  </si>
  <si>
    <t>Agneaux de boucherie</t>
  </si>
  <si>
    <t>Laine</t>
  </si>
  <si>
    <t>Autres charges</t>
  </si>
  <si>
    <t>(Vétérinaire, tonte,...)</t>
  </si>
  <si>
    <t>---------------------------</t>
  </si>
  <si>
    <t>Chèvres adultes</t>
  </si>
  <si>
    <t>Boucs</t>
  </si>
  <si>
    <t>Chevrettes rempl.</t>
  </si>
  <si>
    <t>Chevraux de l'année</t>
  </si>
  <si>
    <t>-----------------------</t>
  </si>
  <si>
    <t>Chevrettes d'élevage</t>
  </si>
  <si>
    <t>Chevraux de boucherie</t>
  </si>
  <si>
    <t>Lait en vente directe</t>
  </si>
  <si>
    <t>Fomage frais</t>
  </si>
  <si>
    <t>Fromage affiné</t>
  </si>
  <si>
    <t>Caillé</t>
  </si>
  <si>
    <t>(Vétérinaire, insémi., éponges...)</t>
  </si>
  <si>
    <t>-----------------------------</t>
  </si>
  <si>
    <t>Nombre de</t>
  </si>
  <si>
    <t>Fréquen.</t>
  </si>
  <si>
    <t>périodes</t>
  </si>
  <si>
    <t>Logements ferme</t>
  </si>
  <si>
    <t>(chambre 2à 3 pers.)</t>
  </si>
  <si>
    <t>Gîtes à la ferme</t>
  </si>
  <si>
    <t>(4 à 6 pres.)</t>
  </si>
  <si>
    <t>(6 à 8 pers.)</t>
  </si>
  <si>
    <t>Camping ferme</t>
  </si>
  <si>
    <t>(...emplacements)</t>
  </si>
  <si>
    <t>-Bisons</t>
  </si>
  <si>
    <t xml:space="preserve">     Mâles</t>
  </si>
  <si>
    <t xml:space="preserve">     Femelles</t>
  </si>
  <si>
    <t xml:space="preserve">     Jeunes</t>
  </si>
  <si>
    <t>-Cervidés</t>
  </si>
  <si>
    <t xml:space="preserve"> (espèce:...............)</t>
  </si>
  <si>
    <t xml:space="preserve">     Faons</t>
  </si>
  <si>
    <t>-Autruches</t>
  </si>
  <si>
    <t xml:space="preserve">     Autruchons</t>
  </si>
  <si>
    <t>TOTAL</t>
  </si>
  <si>
    <t>---------------</t>
  </si>
  <si>
    <t>Animaux boucherie</t>
  </si>
  <si>
    <t>Réformes</t>
  </si>
  <si>
    <t>Autres:</t>
  </si>
  <si>
    <t>Trophées</t>
  </si>
  <si>
    <t>Préparations</t>
  </si>
  <si>
    <t>---</t>
  </si>
  <si>
    <t>Nombre / an</t>
  </si>
  <si>
    <t xml:space="preserve">Nombre / an </t>
  </si>
  <si>
    <t>Poulets engrais</t>
  </si>
  <si>
    <t>Poules pondeuses</t>
  </si>
  <si>
    <t>Poules parentales</t>
  </si>
  <si>
    <t>Canards gavage</t>
  </si>
  <si>
    <t xml:space="preserve"> ------------------------</t>
  </si>
  <si>
    <t xml:space="preserve"> ---------------------------------</t>
  </si>
  <si>
    <t>Poulets engr. batteries</t>
  </si>
  <si>
    <t>Poulets "label"</t>
  </si>
  <si>
    <t>Oies à gaver</t>
  </si>
  <si>
    <t>Canards mulards</t>
  </si>
  <si>
    <t>Canards à gaver</t>
  </si>
  <si>
    <t>Pintades</t>
  </si>
  <si>
    <t>Dindes de Noël</t>
  </si>
  <si>
    <t>Dindonneaux</t>
  </si>
  <si>
    <t>Pigeons chair(couples)</t>
  </si>
  <si>
    <t>Cailles</t>
  </si>
  <si>
    <t>Faisans</t>
  </si>
  <si>
    <t>Chapons</t>
  </si>
  <si>
    <t>Lapins de chair ( race :                                     )</t>
  </si>
  <si>
    <t xml:space="preserve">   Femelles</t>
  </si>
  <si>
    <t xml:space="preserve">   Mâles</t>
  </si>
  <si>
    <t>Animaux à fourrure (espèce :                                 )</t>
  </si>
  <si>
    <t>Abeilles (Ruches)</t>
  </si>
  <si>
    <t>Héliciculture ( espèce :                                            )</t>
  </si>
  <si>
    <t xml:space="preserve">    Reproducteurs</t>
  </si>
  <si>
    <t>Lombriculture</t>
  </si>
  <si>
    <t xml:space="preserve">                ----------------------------------</t>
  </si>
  <si>
    <t xml:space="preserve">             -----------------------------------</t>
  </si>
  <si>
    <t>Poulets à rôtir</t>
  </si>
  <si>
    <t>OEufs</t>
  </si>
  <si>
    <t>Poules à bouillir</t>
  </si>
  <si>
    <t>Poussins 1 jour</t>
  </si>
  <si>
    <t>Canards à rôtir</t>
  </si>
  <si>
    <t>Foie gras</t>
  </si>
  <si>
    <t>Dindes</t>
  </si>
  <si>
    <t>Pigeonneaux</t>
  </si>
  <si>
    <t>Pigeons réforme</t>
  </si>
  <si>
    <t>Lapins de chair</t>
  </si>
  <si>
    <t xml:space="preserve">Peaux </t>
  </si>
  <si>
    <t>Réformes et rebut</t>
  </si>
  <si>
    <t>Miel</t>
  </si>
  <si>
    <t>Cire</t>
  </si>
  <si>
    <t>Pollen</t>
  </si>
  <si>
    <t>Gelée royale</t>
  </si>
  <si>
    <t>Hydromel</t>
  </si>
  <si>
    <t>Essaims</t>
  </si>
  <si>
    <t>Escargots</t>
  </si>
  <si>
    <t>--------------------</t>
  </si>
  <si>
    <t>----------------------</t>
  </si>
  <si>
    <t>Achat animaux :</t>
  </si>
  <si>
    <t xml:space="preserve">    </t>
  </si>
  <si>
    <t>Aliments :</t>
  </si>
  <si>
    <t>Autres charges :</t>
  </si>
  <si>
    <t xml:space="preserve">  -Frais vétérinaires</t>
  </si>
  <si>
    <t xml:space="preserve">  -Cotisations</t>
  </si>
  <si>
    <t xml:space="preserve">  -Frais abattage</t>
  </si>
  <si>
    <t xml:space="preserve">  -Frais préparations</t>
  </si>
  <si>
    <t xml:space="preserve">  -Frais conditionmt</t>
  </si>
  <si>
    <t>--------------------------------</t>
  </si>
  <si>
    <t>------------------------------------</t>
  </si>
  <si>
    <t>Charges</t>
  </si>
  <si>
    <t>Achat de bovins</t>
  </si>
  <si>
    <t>Aliments bovins</t>
  </si>
  <si>
    <t>Charges bovins</t>
  </si>
  <si>
    <t>Achat de porcins</t>
  </si>
  <si>
    <t>Aliments porcins</t>
  </si>
  <si>
    <t>Charges porcins</t>
  </si>
  <si>
    <t>Phyto</t>
  </si>
  <si>
    <t>Ficelles</t>
  </si>
  <si>
    <t>Carburant</t>
  </si>
  <si>
    <t>Frais de réparations</t>
  </si>
  <si>
    <t>Location an/an</t>
  </si>
  <si>
    <t>Frais généraux</t>
  </si>
  <si>
    <t>Loc. bât. exploitation</t>
  </si>
  <si>
    <t>Fermages</t>
  </si>
  <si>
    <t>---------------------------------</t>
  </si>
  <si>
    <t>Charges spéciales</t>
  </si>
  <si>
    <t>TOTAL charges</t>
  </si>
  <si>
    <t>------------------------------</t>
  </si>
  <si>
    <t>Nature des biens</t>
  </si>
  <si>
    <t>Valeur de rempl.</t>
  </si>
  <si>
    <t>Amortissements et entretien</t>
  </si>
  <si>
    <t>ou coût constr.</t>
  </si>
  <si>
    <t>en %</t>
  </si>
  <si>
    <t>Valeur de</t>
  </si>
  <si>
    <t>rempl.</t>
  </si>
  <si>
    <t>Récolte</t>
  </si>
  <si>
    <t>Valeur ou</t>
  </si>
  <si>
    <t>% intérêt ou</t>
  </si>
  <si>
    <t>Intérêt du</t>
  </si>
  <si>
    <t>capital</t>
  </si>
  <si>
    <t>1. Ha en propriété</t>
  </si>
  <si>
    <t>2. Cultures agricoles</t>
  </si>
  <si>
    <t xml:space="preserve">    Cultures horticoles</t>
  </si>
  <si>
    <t>3. Bât., am. fonc.,plan...</t>
  </si>
  <si>
    <t>4. Matériel</t>
  </si>
  <si>
    <t>5. Bétail bovin</t>
  </si>
  <si>
    <t xml:space="preserve">    Bétail porcin</t>
  </si>
  <si>
    <t xml:space="preserve">    Autres animaux</t>
  </si>
  <si>
    <t>Résultats d'exploitation.</t>
  </si>
  <si>
    <t>Nature</t>
  </si>
  <si>
    <t>vente en % du total</t>
  </si>
  <si>
    <t>Ventes cult. commerç.</t>
  </si>
  <si>
    <t>Ventes cult. horti.</t>
  </si>
  <si>
    <t>Ventes produits lait</t>
  </si>
  <si>
    <t>Ventes bétail bovin</t>
  </si>
  <si>
    <t>Ventes prod. porcines</t>
  </si>
  <si>
    <t>Autres spéculations</t>
  </si>
  <si>
    <t>Total des ventes:</t>
  </si>
  <si>
    <t>Prime Axe</t>
  </si>
  <si>
    <t>Prime vaches allai.</t>
  </si>
  <si>
    <t>Total des primes:</t>
  </si>
  <si>
    <t>Total des produits:</t>
  </si>
  <si>
    <t>Charges payées</t>
  </si>
  <si>
    <t>Amort. et entr. bât....</t>
  </si>
  <si>
    <t>Amotissement mat.</t>
  </si>
  <si>
    <t>Intérêts des capitaux</t>
  </si>
  <si>
    <t>Charges totales:</t>
  </si>
  <si>
    <t>en % du total</t>
  </si>
  <si>
    <t>Revenu d'exploitation</t>
  </si>
  <si>
    <t/>
  </si>
  <si>
    <t>Revenu corrigé</t>
  </si>
  <si>
    <t>Revenu extérieur</t>
  </si>
  <si>
    <t>Revenu total</t>
  </si>
  <si>
    <t>Nombre UTH</t>
  </si>
  <si>
    <t>Revenu/UTH:</t>
  </si>
  <si>
    <t>Revenu de réf.:</t>
  </si>
  <si>
    <t>Remarques:</t>
  </si>
  <si>
    <t>de superficie fourragère à la fin du plan d'amélioration.</t>
  </si>
  <si>
    <t>Formule générale:</t>
  </si>
  <si>
    <t>1. Exploitation pratiquant uniquement la spéculation viande.</t>
  </si>
  <si>
    <t>=</t>
  </si>
  <si>
    <t>U.G.B. (v)</t>
  </si>
  <si>
    <t>annuel</t>
  </si>
  <si>
    <t>Taureaux, vaches et bovins agés de + 2 ans</t>
  </si>
  <si>
    <t>Bovins de 6 mois à 2 ans</t>
  </si>
  <si>
    <t>(A) Total des U.G.B. (v):</t>
  </si>
  <si>
    <t>densité=A/S=</t>
  </si>
  <si>
    <t>2. Exploitation pratiquant des spéculations mixtes:</t>
  </si>
  <si>
    <t>S, A=idem 1</t>
  </si>
  <si>
    <t>Vaches laitières, génisses de remplact et tx reprod. de +2 ans</t>
  </si>
  <si>
    <t>Chevaux et poneys de +6 mois</t>
  </si>
  <si>
    <t>Moutons et chèvres</t>
  </si>
  <si>
    <t>(B)Total des U.G.B. (nv):</t>
  </si>
  <si>
    <t>Densité de bovins à viande par Ha:</t>
  </si>
  <si>
    <t>2. Exploitation utilisant des surfaces fourragères communes à plusieurs exploitations.</t>
  </si>
  <si>
    <t>S, A=idem 1   B=idem 2</t>
  </si>
  <si>
    <t>(A+B)': somme (A+B) de toutes les exploitations.</t>
  </si>
  <si>
    <t>S': Somme des S de toutes les exploitations.</t>
  </si>
  <si>
    <t>Engagement production viande bovine.</t>
  </si>
  <si>
    <t xml:space="preserve">Le soussigné, </t>
  </si>
  <si>
    <t>- certifie qu'il a respecté et qu'il respectera le bilan fourrager repris ci-après;</t>
  </si>
  <si>
    <t>- autorise le contrôle de ce bilan sur base de ses déclarations aux recensements agricole et horticole</t>
  </si>
  <si>
    <t xml:space="preserve">  des années concernées.</t>
  </si>
  <si>
    <t>Bilan fourrager</t>
  </si>
  <si>
    <t>Alimentation du cheptel</t>
  </si>
  <si>
    <t>Début du plan d'amélioration</t>
  </si>
  <si>
    <t>Fin du plan d'amélioration</t>
  </si>
  <si>
    <t>Besoins alimentaires annuels en Ha</t>
  </si>
  <si>
    <t>Aliments produits par l'exploitation:</t>
  </si>
  <si>
    <t>- cultures fourragères en Ha au 15 mai</t>
  </si>
  <si>
    <t>- Prairies permanentes et temporaires en Ha au 15 mai</t>
  </si>
  <si>
    <t>ALIMENTS ACHETES</t>
  </si>
  <si>
    <t>ORIGINE</t>
  </si>
  <si>
    <t>FIN</t>
  </si>
  <si>
    <t>Aliments achetés par l'exploitation:</t>
  </si>
  <si>
    <t>Aliments grossiers (Tonnes M. S.)</t>
  </si>
  <si>
    <t>- Aliments grossiers en tonnes de matière sèche</t>
  </si>
  <si>
    <t>Aliments concentrés ( Tonnes)</t>
  </si>
  <si>
    <t>- Aliments concentrés en tonnes</t>
  </si>
  <si>
    <t>% M.S.</t>
  </si>
  <si>
    <t>Quantités achetées ( T )</t>
  </si>
  <si>
    <t>Modifications envisagées durant le plan</t>
  </si>
  <si>
    <t>Herbe fraîche</t>
  </si>
  <si>
    <t>Luzerne</t>
  </si>
  <si>
    <t>Feuilles et collets de betteraves</t>
  </si>
  <si>
    <t>Ensilage d'herbe fraîche</t>
  </si>
  <si>
    <t>Ensilage d'herbe préfanée</t>
  </si>
  <si>
    <t>Ensilage de luzerne</t>
  </si>
  <si>
    <t>Ensilage de maïs</t>
  </si>
  <si>
    <t>Ensilage de pulpes humides</t>
  </si>
  <si>
    <t>Foin d'herbe</t>
  </si>
  <si>
    <t>Foin de luzerne</t>
  </si>
  <si>
    <t>Pellets de fourrages déshydratés</t>
  </si>
  <si>
    <t>Pommes de terre</t>
  </si>
  <si>
    <t>Betteraves fourragères</t>
  </si>
  <si>
    <t>Racines de witloof</t>
  </si>
  <si>
    <t>Pulpes fraîches</t>
  </si>
  <si>
    <t>Pulpes surpressées</t>
  </si>
  <si>
    <t>Pulpes séchées</t>
  </si>
  <si>
    <t>Paille</t>
  </si>
  <si>
    <t>Grains et semences</t>
  </si>
  <si>
    <t>Tourteaux</t>
  </si>
  <si>
    <t>Concentrés du commerce</t>
  </si>
  <si>
    <t>Nombre d'UTH:</t>
  </si>
  <si>
    <t>Spéculations présentes? (non=0)</t>
  </si>
  <si>
    <t>Porcs</t>
  </si>
  <si>
    <t>Chevaux</t>
  </si>
  <si>
    <t>Ovins</t>
  </si>
  <si>
    <t>Caprins</t>
  </si>
  <si>
    <t>Plan d'amélioration</t>
  </si>
  <si>
    <t>Produits phytopharmaceutiques</t>
  </si>
  <si>
    <t>Travaux executés par tiers</t>
  </si>
  <si>
    <t>Intérêts des capitaux investis</t>
  </si>
  <si>
    <t>Temps nécessaire</t>
  </si>
  <si>
    <t>Semis et</t>
  </si>
  <si>
    <t>Presser,pulvériser</t>
  </si>
  <si>
    <t>Heures/Ha</t>
  </si>
  <si>
    <t>Total des heures</t>
  </si>
  <si>
    <t>valeur/Ha</t>
  </si>
  <si>
    <t>origine</t>
  </si>
  <si>
    <t>fin</t>
  </si>
  <si>
    <t>plantations</t>
  </si>
  <si>
    <t>et ensilage</t>
  </si>
  <si>
    <t>ou autres</t>
  </si>
  <si>
    <t>par Ha</t>
  </si>
  <si>
    <t>-Lin (Fibres)</t>
  </si>
  <si>
    <t>-Lin sous contrat</t>
  </si>
  <si>
    <t>-P.D.T. sous contrat</t>
  </si>
  <si>
    <t>Produits Phytopharmaceutiques</t>
  </si>
  <si>
    <t>Temps moyen</t>
  </si>
  <si>
    <t>Valeur/are</t>
  </si>
  <si>
    <t>Heures/are</t>
  </si>
  <si>
    <t>Alimentation des bovins</t>
  </si>
  <si>
    <t>Temps de travail pour les bovins.</t>
  </si>
  <si>
    <t>Coût/animal</t>
  </si>
  <si>
    <t>Coût total</t>
  </si>
  <si>
    <t>H./animal/an</t>
  </si>
  <si>
    <t>heures</t>
  </si>
  <si>
    <t>Charges des bovins</t>
  </si>
  <si>
    <t>Jeune bétail</t>
  </si>
  <si>
    <t>Temps de travail pour lesporcins</t>
  </si>
  <si>
    <t>Truies</t>
  </si>
  <si>
    <t>Productions chevalines</t>
  </si>
  <si>
    <t>Temps consacré</t>
  </si>
  <si>
    <t>Chevaux pension</t>
  </si>
  <si>
    <t>Prime "vaches allaitantes"</t>
  </si>
  <si>
    <t>Années</t>
  </si>
  <si>
    <t>Année</t>
  </si>
  <si>
    <t>Objet</t>
  </si>
  <si>
    <t>UGB/Ha fourrager</t>
  </si>
  <si>
    <t>Prime "bovins mâles</t>
  </si>
  <si>
    <t>Revenu de référence</t>
  </si>
  <si>
    <t>Taux de croissance</t>
  </si>
  <si>
    <t>Taux de diminution budget</t>
  </si>
  <si>
    <t>Revenu seuil sablo-limoneux</t>
  </si>
  <si>
    <t>Revenu seuil campine henuyère</t>
  </si>
  <si>
    <t>Bloc réponse</t>
  </si>
  <si>
    <t>Calcul de la superficie fourragère équivalente:</t>
  </si>
  <si>
    <t>Code INS</t>
  </si>
  <si>
    <t>Culture</t>
  </si>
  <si>
    <t>Tx de conversion</t>
  </si>
  <si>
    <t>superficie équival.</t>
  </si>
  <si>
    <t>010</t>
  </si>
  <si>
    <t>Prés et prairies</t>
  </si>
  <si>
    <t>012</t>
  </si>
  <si>
    <t>Pois secs</t>
  </si>
  <si>
    <t>021</t>
  </si>
  <si>
    <t>Froment d'hiver</t>
  </si>
  <si>
    <t>022</t>
  </si>
  <si>
    <t>Froment de printemps</t>
  </si>
  <si>
    <t>023</t>
  </si>
  <si>
    <t>Seigle</t>
  </si>
  <si>
    <t>024</t>
  </si>
  <si>
    <t>Epeautre</t>
  </si>
  <si>
    <t>025</t>
  </si>
  <si>
    <t>Orge de brasserie</t>
  </si>
  <si>
    <t>026</t>
  </si>
  <si>
    <t>027</t>
  </si>
  <si>
    <t>031</t>
  </si>
  <si>
    <t>Triticale</t>
  </si>
  <si>
    <t>041</t>
  </si>
  <si>
    <t>Betteraves sucrières</t>
  </si>
  <si>
    <t>Chicorées industrielles</t>
  </si>
  <si>
    <t>080</t>
  </si>
  <si>
    <t>Plantes racines fourragères</t>
  </si>
  <si>
    <t>081</t>
  </si>
  <si>
    <t>Trèfles</t>
  </si>
  <si>
    <t>082</t>
  </si>
  <si>
    <t>083</t>
  </si>
  <si>
    <t>Maïs laiteux ou pâteux</t>
  </si>
  <si>
    <t>084</t>
  </si>
  <si>
    <t>Autres fourrages verts</t>
  </si>
  <si>
    <t>100</t>
  </si>
  <si>
    <t>158</t>
  </si>
  <si>
    <t>Witloof pour la production de chicons</t>
  </si>
  <si>
    <t>à l'exploitation</t>
  </si>
  <si>
    <t>----------------------------------------------</t>
  </si>
  <si>
    <t>Calcul des UTH</t>
  </si>
  <si>
    <t>Cultures agricoles et fourragères</t>
  </si>
  <si>
    <t>cultures particulières et horticoles</t>
  </si>
  <si>
    <t>spéculations bovines</t>
  </si>
  <si>
    <t>spéculations porcines</t>
  </si>
  <si>
    <t>Autres spéculations animales</t>
  </si>
  <si>
    <t>Divers ou non agricole</t>
  </si>
  <si>
    <t>total:</t>
  </si>
  <si>
    <t>UTH:</t>
  </si>
  <si>
    <t>année :</t>
  </si>
  <si>
    <t xml:space="preserve">Situation origine au </t>
  </si>
  <si>
    <t xml:space="preserve">Situation fin au </t>
  </si>
  <si>
    <t>Liste des données à transférer en base de données :</t>
  </si>
  <si>
    <t>Nom</t>
  </si>
  <si>
    <t>Valeur</t>
  </si>
  <si>
    <t>BUDG_ANNEE_DEB</t>
  </si>
  <si>
    <t>BUDG_ANNEE_FIN</t>
  </si>
  <si>
    <t>BUDG_CULT_COM_AV</t>
  </si>
  <si>
    <t>BUDG_CULT_COM_AP</t>
  </si>
  <si>
    <t>BUDG_CULT_FOUR_AV</t>
  </si>
  <si>
    <t>BUDG_CULT_FOUR_AP</t>
  </si>
  <si>
    <t>BUDG_CULT_HORT_AV</t>
  </si>
  <si>
    <t>BUDG_CULT_HORT_AP</t>
  </si>
  <si>
    <t>BUDG_V_PRD_LAIT_AP</t>
  </si>
  <si>
    <t>BUDG_V_PRD_LAIT_AV</t>
  </si>
  <si>
    <t>BUDG_BOVIN_OVIN_AV</t>
  </si>
  <si>
    <t>BUDG_BOVIN_OVIN_AP</t>
  </si>
  <si>
    <t>BUDG_PROD_PORC_AV</t>
  </si>
  <si>
    <t>BUDG_PROD_PORC_AP</t>
  </si>
  <si>
    <t>MINISTERE DE LA REGION WALLONNE</t>
  </si>
  <si>
    <t>Direction générale de l'agriculture</t>
  </si>
  <si>
    <t>Division de l'intervention</t>
  </si>
  <si>
    <t>N° FIA:</t>
  </si>
  <si>
    <t>RAPPORT TECHNIQUE</t>
  </si>
  <si>
    <t>1)</t>
  </si>
  <si>
    <t>Adresse de l'exploitation:</t>
  </si>
  <si>
    <t>Rue:</t>
  </si>
  <si>
    <t>(ancienne commune)</t>
  </si>
  <si>
    <t>Région agricole:</t>
  </si>
  <si>
    <t>N° T.V.A. :</t>
  </si>
  <si>
    <t>Régions défavorisées :</t>
  </si>
  <si>
    <t>Profession secondaire:</t>
  </si>
  <si>
    <t>Revenu brut :</t>
  </si>
  <si>
    <t>Nature:</t>
  </si>
  <si>
    <t>Temps consacré:</t>
  </si>
  <si>
    <t>%</t>
  </si>
  <si>
    <t>2)</t>
  </si>
  <si>
    <t>Date de naissance du chef d'exploitation:</t>
  </si>
  <si>
    <t>3)</t>
  </si>
  <si>
    <t>Capacité professionnelle du chef d'exploitation et/ou du gérant:</t>
  </si>
  <si>
    <t>- diplômes  et  certificats  ( voir copies jointes ) :</t>
  </si>
  <si>
    <t>- Durée  de  l'expérience  professionnelle,  stages,..........  :</t>
  </si>
  <si>
    <t>ans</t>
  </si>
  <si>
    <t>4)</t>
  </si>
  <si>
    <t>Aidants familiaux:</t>
  </si>
  <si>
    <t>Date de naissance:</t>
  </si>
  <si>
    <t>a)</t>
  </si>
  <si>
    <t>b)</t>
  </si>
  <si>
    <t>c)</t>
  </si>
  <si>
    <t>d)</t>
  </si>
  <si>
    <t>5)</t>
  </si>
  <si>
    <t>Successeur éventuel:</t>
  </si>
  <si>
    <t>OUI</t>
  </si>
  <si>
    <t>6)</t>
  </si>
  <si>
    <t>N° d'exploitation:</t>
  </si>
  <si>
    <t>N° de producteur:</t>
  </si>
  <si>
    <t>7)</t>
  </si>
  <si>
    <t>Code(s) d'exploitation: (85/377/CEE)</t>
  </si>
  <si>
    <t>(85/377/CEE)</t>
  </si>
  <si>
    <t>-à l'installation ou au début du plan:</t>
  </si>
  <si>
    <t>-à la fin du plan:</t>
  </si>
  <si>
    <t>8)</t>
  </si>
  <si>
    <t>Comptabilité:</t>
  </si>
  <si>
    <t>, à l'intervention de:</t>
  </si>
  <si>
    <t>9)</t>
  </si>
  <si>
    <t>Propriété du demandeur: terres:</t>
  </si>
  <si>
    <t xml:space="preserve">Siège d'exploitation: </t>
  </si>
  <si>
    <t>-terres exploitées en propriété:</t>
  </si>
  <si>
    <t>-terres exploitées en location:</t>
  </si>
  <si>
    <t>a. bail:</t>
  </si>
  <si>
    <t>b. contrat:</t>
  </si>
  <si>
    <t>-terres en promesse:</t>
  </si>
  <si>
    <t>Total des terres:</t>
  </si>
  <si>
    <t>-dont en serres:</t>
  </si>
  <si>
    <t>m²</t>
  </si>
  <si>
    <t xml:space="preserve">10) Si construction sur bien d'autrui, autorisation de bâtir du propriétaire ou du juge de paix: </t>
  </si>
  <si>
    <t>(voir copie en annexe)</t>
  </si>
  <si>
    <t>11) Permis de bâtir:</t>
  </si>
  <si>
    <t>12) Permis d'exploiter</t>
  </si>
  <si>
    <t>13) N°(s) FIA des dossiers existants au nom du demandeur:</t>
  </si>
  <si>
    <t>14) En cas de reprise, N°(s) FIA des dossiers du cédant:</t>
  </si>
  <si>
    <t xml:space="preserve">16) En règle au niveau sanitaire: </t>
  </si>
  <si>
    <t>Statut des bovins:</t>
  </si>
  <si>
    <t>Statut des porcs:</t>
  </si>
  <si>
    <t>l/vache</t>
  </si>
  <si>
    <t>production laitière à la fin du plan:</t>
  </si>
  <si>
    <t>Quota à la fin du plan:</t>
  </si>
  <si>
    <t>l</t>
  </si>
  <si>
    <t>18) Secteur porcin: capacité totale en équivalent places pour porcs à l'engrais</t>
  </si>
  <si>
    <t>-Avant l'investissement:</t>
  </si>
  <si>
    <t>-Après l'investissement:</t>
  </si>
  <si>
    <t>19) Investissements envisagés:</t>
  </si>
  <si>
    <t xml:space="preserve">Nature et description </t>
  </si>
  <si>
    <t>But (1)</t>
  </si>
  <si>
    <t xml:space="preserve">Réalisé </t>
  </si>
  <si>
    <t>des investissements</t>
  </si>
  <si>
    <t>en</t>
  </si>
  <si>
    <t>personnelles</t>
  </si>
  <si>
    <t>Totaux:</t>
  </si>
  <si>
    <t>Total des investissements = Total des coûts prévus + Total des prestations personnelles</t>
  </si>
  <si>
    <t>+ Frais et Taxes =</t>
  </si>
  <si>
    <t>1. Amélioration qualitative et reconversion de la production en fonction des besoins du marché.</t>
  </si>
  <si>
    <t>2. Diversification des activités sur l'exploitation (préciser sur quelles activités) ex.: tourisme...</t>
  </si>
  <si>
    <t>3. Adaptation de l'exploitation en vue d'une réduction des coûts de production.</t>
  </si>
  <si>
    <t>4. Amélioration des conditions de vie et de travail.</t>
  </si>
  <si>
    <t>7. Respect des normes du bien-être des animaux.</t>
  </si>
  <si>
    <t>5. Réalisation d'économies d'énergie.</t>
  </si>
  <si>
    <t>8. Protection et amélioration de l'environnement.</t>
  </si>
  <si>
    <t>6. Amélioration des conditions d'hygiène et d'élevage.</t>
  </si>
  <si>
    <t>9. Autres.</t>
  </si>
  <si>
    <t>20) AVIS DU TECHNICIEN:</t>
  </si>
  <si>
    <t>En annexes:</t>
  </si>
  <si>
    <t>N° de compte financier:</t>
  </si>
  <si>
    <t>BUDG_AUTRES_AV</t>
  </si>
  <si>
    <t>BUDG_AUTRES_AP</t>
  </si>
  <si>
    <t>BUDG_REV_EXPL_AV</t>
  </si>
  <si>
    <t>BUDG_REV_EXPL_AP</t>
  </si>
  <si>
    <t>BUDG_REV_COMP_AV</t>
  </si>
  <si>
    <t>BUDG_REV_COMP_AP</t>
  </si>
  <si>
    <t>BUDG_UTH_AV</t>
  </si>
  <si>
    <t>BUDG_UTH_AP</t>
  </si>
  <si>
    <t>BUDG_REV_REF_AV</t>
  </si>
  <si>
    <t>BUDG_REV_REF_AP</t>
  </si>
  <si>
    <t>BUDG_REV_ACCES_AV</t>
  </si>
  <si>
    <t>BUDG_REV_ACCES_AP</t>
  </si>
  <si>
    <t>BUDG_AN_BUDGET</t>
  </si>
  <si>
    <t>N__F.I.A.</t>
  </si>
  <si>
    <t>valeurs de Références</t>
  </si>
  <si>
    <t>Référence :</t>
  </si>
  <si>
    <t>Date :</t>
  </si>
  <si>
    <t>statuts Bovins</t>
  </si>
  <si>
    <t>B4</t>
  </si>
  <si>
    <t>L3</t>
  </si>
  <si>
    <t>T3</t>
  </si>
  <si>
    <t xml:space="preserve">Avis </t>
  </si>
  <si>
    <t>FAVORABLE</t>
  </si>
  <si>
    <t>DEFAVORABLE</t>
  </si>
  <si>
    <t>RAPT_CODE_OTE_DEB</t>
  </si>
  <si>
    <t>RAPT_CODE_OTE_FIN</t>
  </si>
  <si>
    <t>RAPT_PROP_EXPAN</t>
  </si>
  <si>
    <t>RAPT_SIEGE_EXPLOIT</t>
  </si>
  <si>
    <t>RAPT_EXPL_PROP_AV</t>
  </si>
  <si>
    <t>RAPT_EXPL_PROP_AP</t>
  </si>
  <si>
    <t>RAPT_EXPL_LOCB_AV</t>
  </si>
  <si>
    <t>RAPT_EXPL_LOCB_AP</t>
  </si>
  <si>
    <t>RAPT_EXPL_LOCC_AV</t>
  </si>
  <si>
    <t>RAPT_EXPL_LOCC_AP</t>
  </si>
  <si>
    <t>RAPT_TER_PROM_AV</t>
  </si>
  <si>
    <t>RAPT_TER_PROM_AP</t>
  </si>
  <si>
    <t>RAPT_SERRES_AV</t>
  </si>
  <si>
    <t>RAPT_SERRES_AP</t>
  </si>
  <si>
    <t>RAPT_PERMIS_BATIR</t>
  </si>
  <si>
    <t>RAPT_REF_PERM_BAT</t>
  </si>
  <si>
    <t>RAPT_DATE_PERM_BAT</t>
  </si>
  <si>
    <t>RAPT_REF_PERM_EXP</t>
  </si>
  <si>
    <t>RAPT_STATUT_BOVINS</t>
  </si>
  <si>
    <t>RAPT_STATUS_PORCS</t>
  </si>
  <si>
    <t>RAPT_PROD_LAIT_DEB</t>
  </si>
  <si>
    <t>RAPT_PROD_LAIT_FIN</t>
  </si>
  <si>
    <t>RAPT_QUOTA_FIN</t>
  </si>
  <si>
    <t>RAPT_AVIS_TEC</t>
  </si>
  <si>
    <t>RAPT_DATE_RAPPORT</t>
  </si>
  <si>
    <t>RAPT_REMARQUE</t>
  </si>
  <si>
    <t>DIRECTION GENERALE DE L'AGRICULTURE</t>
  </si>
  <si>
    <t>FICHE DE STRUCTURE</t>
  </si>
  <si>
    <t>N°SE :</t>
  </si>
  <si>
    <t xml:space="preserve">Date législation: </t>
  </si>
  <si>
    <t>Description de l'exploitant/exploitation</t>
  </si>
  <si>
    <t>Adresse</t>
  </si>
  <si>
    <t>Date de naissaince</t>
  </si>
  <si>
    <t>Formation</t>
  </si>
  <si>
    <t>Cours B</t>
  </si>
  <si>
    <t>N° compte bancaire</t>
  </si>
  <si>
    <t>Comptabilité</t>
  </si>
  <si>
    <t>Télephone</t>
  </si>
  <si>
    <t>N°UP</t>
  </si>
  <si>
    <t>N°producteur</t>
  </si>
  <si>
    <t>Quotas laitier</t>
  </si>
  <si>
    <t>Quotas vaches allaitantes</t>
  </si>
  <si>
    <t>Successeur</t>
  </si>
  <si>
    <t>Superficie agricole</t>
  </si>
  <si>
    <t>Superficie totale de la ferme</t>
  </si>
  <si>
    <t>Terres en propriété</t>
  </si>
  <si>
    <t>Céréales</t>
  </si>
  <si>
    <t>Froment</t>
  </si>
  <si>
    <t>ha</t>
  </si>
  <si>
    <t>Escourgeon</t>
  </si>
  <si>
    <t>Maïs</t>
  </si>
  <si>
    <t>Culture sarclées</t>
  </si>
  <si>
    <t>Prairies</t>
  </si>
  <si>
    <t>Prairies permanentes</t>
  </si>
  <si>
    <t>Prairies temporaires</t>
  </si>
  <si>
    <t>Cultures fourragères</t>
  </si>
  <si>
    <t>Lin</t>
  </si>
  <si>
    <t>Colza</t>
  </si>
  <si>
    <t>Nombre total de bovins</t>
  </si>
  <si>
    <t>Nombre de vaches laitières</t>
  </si>
  <si>
    <t>Nombre de vaches allaitantes</t>
  </si>
  <si>
    <t>Bovins de deux ans et plus</t>
  </si>
  <si>
    <t>Bovins entre six mois et deux ans</t>
  </si>
  <si>
    <t>Engraissement</t>
  </si>
  <si>
    <t>Nombre de porc</t>
  </si>
  <si>
    <t>Nombre truies d'élevage</t>
  </si>
  <si>
    <t>Nombre Porcs à l'engraissement/an</t>
  </si>
  <si>
    <t>Volaille</t>
  </si>
  <si>
    <t>Nbre poules pondeuses</t>
  </si>
  <si>
    <t>Nombre poulets de chair</t>
  </si>
  <si>
    <t>Superficie horticole</t>
  </si>
  <si>
    <t>Plein air</t>
  </si>
  <si>
    <t>Serres froides</t>
  </si>
  <si>
    <t>Serres chauffées</t>
  </si>
  <si>
    <t>Pépinières forestières</t>
  </si>
  <si>
    <t>Cultures fruitières</t>
  </si>
  <si>
    <t>Champignonnières</t>
  </si>
  <si>
    <t>Autres cultures</t>
  </si>
  <si>
    <t>Date et Signature</t>
  </si>
  <si>
    <t>Région agricole</t>
  </si>
  <si>
    <t>Limoneuse</t>
  </si>
  <si>
    <t>Condroz</t>
  </si>
  <si>
    <t>Famenne</t>
  </si>
  <si>
    <t>Fagnes</t>
  </si>
  <si>
    <t>Ardenne</t>
  </si>
  <si>
    <t xml:space="preserve">Province : </t>
  </si>
  <si>
    <t>Localité :</t>
  </si>
  <si>
    <t>Ingénieur resp :</t>
  </si>
  <si>
    <t>RAPT_ORDRE_SANIT</t>
  </si>
  <si>
    <t>RAPT_DATE_PERM_EXP</t>
  </si>
  <si>
    <t>FB/Euro</t>
  </si>
  <si>
    <t>RAPT_BOV_2ANS_AV</t>
  </si>
  <si>
    <t>RAPT_BOV_2ANS_AP</t>
  </si>
  <si>
    <t>RAPT_BOV_6A2_AV</t>
  </si>
  <si>
    <t>RAPT_BOV_6A2_AP</t>
  </si>
  <si>
    <t>RAPT_UGB_2ANS_AV</t>
  </si>
  <si>
    <t>RAPT_UGB_2ANS_AP</t>
  </si>
  <si>
    <t>RAPT_UGB_6A2_AV</t>
  </si>
  <si>
    <t>RAPT_UGB_6A2_AP</t>
  </si>
  <si>
    <t>RAPT_SUP_ALIM_AV</t>
  </si>
  <si>
    <t>RAPT_SUP_ALIM_AP</t>
  </si>
  <si>
    <t>Revenu seuil limoneux (brabant-namur)</t>
  </si>
  <si>
    <t>Revenu seuil limoneux (hainaut)</t>
  </si>
  <si>
    <t>Revenu seuil limoneux (liège)</t>
  </si>
  <si>
    <t>Revenu seuil condroz</t>
  </si>
  <si>
    <t>Revenu seuil herbagère (liège)</t>
  </si>
  <si>
    <t xml:space="preserve">Revenu seuil hautes ardennes </t>
  </si>
  <si>
    <t>Grade :</t>
  </si>
  <si>
    <t>Revenu seuil famenne</t>
  </si>
  <si>
    <t>Revenu seuil fagnes</t>
  </si>
  <si>
    <t>Revenu seuil ardennes</t>
  </si>
  <si>
    <t>Revenu seuil jurassique</t>
  </si>
  <si>
    <t>Revenu seuil</t>
  </si>
  <si>
    <t>Revenu seuil :</t>
  </si>
  <si>
    <t>Date législation:</t>
  </si>
  <si>
    <t>1110</t>
  </si>
  <si>
    <t>Céréaliculture</t>
  </si>
  <si>
    <t>1210</t>
  </si>
  <si>
    <t>Plantes sarclées</t>
  </si>
  <si>
    <t>1220</t>
  </si>
  <si>
    <t>Plantes sarclées et céréales</t>
  </si>
  <si>
    <t>1230</t>
  </si>
  <si>
    <t>Légumes frais de plein champ</t>
  </si>
  <si>
    <t>1241</t>
  </si>
  <si>
    <t>Tabac</t>
  </si>
  <si>
    <t>1244</t>
  </si>
  <si>
    <t>Combinaison diverses cultures générales</t>
  </si>
  <si>
    <t>2011</t>
  </si>
  <si>
    <t>Maraîchage en plein air</t>
  </si>
  <si>
    <t>2012</t>
  </si>
  <si>
    <t>Maraîchage sous verre</t>
  </si>
  <si>
    <t>2013</t>
  </si>
  <si>
    <t>Maraîchage plein air et sous verre</t>
  </si>
  <si>
    <t>2021</t>
  </si>
  <si>
    <t>Floriculture en plein air</t>
  </si>
  <si>
    <t>2022</t>
  </si>
  <si>
    <t>Floriculture sous verre</t>
  </si>
  <si>
    <t>2023</t>
  </si>
  <si>
    <t>Floriculture plein air et sous verre</t>
  </si>
  <si>
    <t>2031</t>
  </si>
  <si>
    <t>Horticulture divers en plein air</t>
  </si>
  <si>
    <t>2032</t>
  </si>
  <si>
    <t>Horticulture divers sous verre</t>
  </si>
  <si>
    <t>2033</t>
  </si>
  <si>
    <t>Culture de champignons</t>
  </si>
  <si>
    <t>2034</t>
  </si>
  <si>
    <t>Cultures horticoles diverses</t>
  </si>
  <si>
    <t>3000</t>
  </si>
  <si>
    <t>Pépinières, petits fruits</t>
  </si>
  <si>
    <t>3141</t>
  </si>
  <si>
    <t>Raisin de table</t>
  </si>
  <si>
    <t>3211</t>
  </si>
  <si>
    <t>Fruits frais</t>
  </si>
  <si>
    <t>3400</t>
  </si>
  <si>
    <t>Cultures permanentes combinées</t>
  </si>
  <si>
    <t>4110</t>
  </si>
  <si>
    <t>Exploitation laitière spécialisée</t>
  </si>
  <si>
    <t>4120</t>
  </si>
  <si>
    <t>Exploit. lait. spécial. avec élev. bovin</t>
  </si>
  <si>
    <t>4210</t>
  </si>
  <si>
    <t>Exploitation bovine - élevage bovin</t>
  </si>
  <si>
    <t>4220</t>
  </si>
  <si>
    <t>Exploitation bovine - engraissement</t>
  </si>
  <si>
    <t>4310</t>
  </si>
  <si>
    <t>Exploit bov. lait avec élevage et viande</t>
  </si>
  <si>
    <t>4320</t>
  </si>
  <si>
    <t>Exploit bov. élevage et viande avec lait</t>
  </si>
  <si>
    <t>4410</t>
  </si>
  <si>
    <t>Exploitation ovine spécialisée</t>
  </si>
  <si>
    <t>4420</t>
  </si>
  <si>
    <t>Exploitation mixte bovine et ovine</t>
  </si>
  <si>
    <t>4430</t>
  </si>
  <si>
    <t>Exploitation caprine spécialisée</t>
  </si>
  <si>
    <t>4440</t>
  </si>
  <si>
    <t>Exploit. d' herbiv. sans activ. domin.</t>
  </si>
  <si>
    <t>5011</t>
  </si>
  <si>
    <t>Porcins d' élevage</t>
  </si>
  <si>
    <t>5012</t>
  </si>
  <si>
    <t>Porcins d' engraissement</t>
  </si>
  <si>
    <t>5013</t>
  </si>
  <si>
    <t>Porcins d' élevage et d' engraissement</t>
  </si>
  <si>
    <t>5021</t>
  </si>
  <si>
    <t>Expl. spéc. poules pondeuses</t>
  </si>
  <si>
    <t>5022</t>
  </si>
  <si>
    <t>Expl. spéc. volailles de chair</t>
  </si>
  <si>
    <t>5023</t>
  </si>
  <si>
    <t>Combin. poules pond./volailles de chair</t>
  </si>
  <si>
    <t>5031</t>
  </si>
  <si>
    <t>Combin. porcins/volailles</t>
  </si>
  <si>
    <t>5032</t>
  </si>
  <si>
    <t>Comb porcins/volailles/autres granivores</t>
  </si>
  <si>
    <t>6010</t>
  </si>
  <si>
    <t>Horticulture et cultures permanentes</t>
  </si>
  <si>
    <t>6020</t>
  </si>
  <si>
    <t>Grande culture et horticulture</t>
  </si>
  <si>
    <t>6040</t>
  </si>
  <si>
    <t>Grande culture et cultures permanentes</t>
  </si>
  <si>
    <t>6050</t>
  </si>
  <si>
    <t>Polyculture orientation cult. générales</t>
  </si>
  <si>
    <t>6061</t>
  </si>
  <si>
    <t>Polycult. orient. horticole</t>
  </si>
  <si>
    <t>6062</t>
  </si>
  <si>
    <t>Polycult. orient. cult. perm.</t>
  </si>
  <si>
    <t>7110</t>
  </si>
  <si>
    <t>Polyélevage orientation laitière</t>
  </si>
  <si>
    <t>7120</t>
  </si>
  <si>
    <t>Polyélevage orient. herbiv. non laitière</t>
  </si>
  <si>
    <t>7210</t>
  </si>
  <si>
    <t>Polyélevage granivores-bovins laitiers</t>
  </si>
  <si>
    <t>7220</t>
  </si>
  <si>
    <t>Polyélev. graniv.-herbiv. non laitiers</t>
  </si>
  <si>
    <t>7230</t>
  </si>
  <si>
    <t>Polyélev. graniv.-élevage mixte</t>
  </si>
  <si>
    <t>8110</t>
  </si>
  <si>
    <t>Grandes cultures avec bovins laitiers</t>
  </si>
  <si>
    <t>8120</t>
  </si>
  <si>
    <t>Bovins laitiers avec grandes cultures</t>
  </si>
  <si>
    <t>8130</t>
  </si>
  <si>
    <t>Grandes cult. avec herbiv. non laitiers</t>
  </si>
  <si>
    <t>8140</t>
  </si>
  <si>
    <t>Herbiv. non laitiers avec grandes cult.</t>
  </si>
  <si>
    <t>8210</t>
  </si>
  <si>
    <t>Grandes cultures avec granivores</t>
  </si>
  <si>
    <t>8220</t>
  </si>
  <si>
    <t>Expl. mixte avec cult. perm. et herbiv.</t>
  </si>
  <si>
    <t>8231</t>
  </si>
  <si>
    <t>Apiculture</t>
  </si>
  <si>
    <t>8232</t>
  </si>
  <si>
    <t>Exploitation mixte diversifiée</t>
  </si>
  <si>
    <t>9000</t>
  </si>
  <si>
    <t>Escargots, visons, autres animaux</t>
  </si>
  <si>
    <t>Codes OTE FIA</t>
  </si>
  <si>
    <t>CODE</t>
  </si>
  <si>
    <t>LIBELLE</t>
  </si>
  <si>
    <t>Année d'introduction de la demande (origine du plan)</t>
  </si>
  <si>
    <t>Date rapport:</t>
  </si>
  <si>
    <t>N° DGA:</t>
  </si>
  <si>
    <t>N° SE</t>
  </si>
  <si>
    <t>Date de première installation</t>
  </si>
  <si>
    <t>4A</t>
  </si>
  <si>
    <t>(4 ans d' expérience)</t>
  </si>
  <si>
    <t>A3</t>
  </si>
  <si>
    <t>(A3 agricole)</t>
  </si>
  <si>
    <t>COU-B</t>
  </si>
  <si>
    <t>Cours B ou équivalent</t>
  </si>
  <si>
    <t>PRAG+</t>
  </si>
  <si>
    <t>Ens. professionnel sup. agricole</t>
  </si>
  <si>
    <t>RIEN</t>
  </si>
  <si>
    <t>Aucun ou sans objet</t>
  </si>
  <si>
    <t>SE+</t>
  </si>
  <si>
    <t>Ens. sec. non agricole</t>
  </si>
  <si>
    <t>SE+AG</t>
  </si>
  <si>
    <t>Ens. sec. supérieur agricole</t>
  </si>
  <si>
    <t>SE-AG</t>
  </si>
  <si>
    <t>Ens. sec. inf. agri./ 4 ans agric. prof.</t>
  </si>
  <si>
    <t>SE-B</t>
  </si>
  <si>
    <t>Ens. sec. inf. agri. + cours B</t>
  </si>
  <si>
    <t>SUP</t>
  </si>
  <si>
    <t>Sup. univers./non univers. non agricole</t>
  </si>
  <si>
    <t>SUPAG</t>
  </si>
  <si>
    <t>Ens. sup. univers./ non univers. agric.</t>
  </si>
  <si>
    <t>Etat civil du chef d'exploitation:</t>
  </si>
  <si>
    <t>CELIB</t>
  </si>
  <si>
    <t>Célibataire</t>
  </si>
  <si>
    <t>DECES</t>
  </si>
  <si>
    <t>Décédé</t>
  </si>
  <si>
    <t>DIVOR</t>
  </si>
  <si>
    <t>Divorcé(e)</t>
  </si>
  <si>
    <t>MARIE</t>
  </si>
  <si>
    <t>Marié(e)</t>
  </si>
  <si>
    <t>SANS</t>
  </si>
  <si>
    <t>Sans objet</t>
  </si>
  <si>
    <t>VEUFV</t>
  </si>
  <si>
    <t>Veuf(ve)</t>
  </si>
  <si>
    <t>, le</t>
  </si>
  <si>
    <t>RELEVE  DE  FACTURES</t>
  </si>
  <si>
    <t>Nom :</t>
  </si>
  <si>
    <t>Prénom :</t>
  </si>
  <si>
    <t>Date de législation:</t>
  </si>
  <si>
    <t>Adresse :</t>
  </si>
  <si>
    <t>Code postal :</t>
  </si>
  <si>
    <t xml:space="preserve">Localité : </t>
  </si>
  <si>
    <t>N°</t>
  </si>
  <si>
    <t>FIRME</t>
  </si>
  <si>
    <t>DATE</t>
  </si>
  <si>
    <t>N° FACTURE</t>
  </si>
  <si>
    <t>OBJET</t>
  </si>
  <si>
    <t>TVA</t>
  </si>
  <si>
    <t>TOTAL:</t>
  </si>
  <si>
    <t>MONTANT TOTAL ( hors taxes ):</t>
  </si>
  <si>
    <t>MONTANT TOTAL (taxes inclues):</t>
  </si>
  <si>
    <t>Récapitulation des investissements:</t>
  </si>
  <si>
    <t>code</t>
  </si>
  <si>
    <t>1. Construction,amélioration des bâtiments,équipement ..................................................</t>
  </si>
  <si>
    <t xml:space="preserve">2. Achat de matériel et d'équipement .....................................................................................              </t>
  </si>
  <si>
    <t>3. Achat d'animaux.....................................................................................................................</t>
  </si>
  <si>
    <t>4. Plantations ...............................................................................................................................</t>
  </si>
  <si>
    <t>5. Investissements en faveur du bien-être des animaux ..........................................................</t>
  </si>
  <si>
    <t>6. Investissements pour la protection de l'environnement ........................................................</t>
  </si>
  <si>
    <t>7. Première installation:achats complémentaires .....................................................................</t>
  </si>
  <si>
    <t>Engrais verts</t>
  </si>
  <si>
    <t>Tournières enherbées</t>
  </si>
  <si>
    <t>Cultures fourragères dérobées</t>
  </si>
  <si>
    <t>Densité =</t>
  </si>
  <si>
    <t>Nbre UGB</t>
  </si>
  <si>
    <t>Superficie fourragère</t>
  </si>
  <si>
    <t>Génisses de remplact.&amp; tx.reproducteurs de 6 m. à 2 ans</t>
  </si>
  <si>
    <t>A</t>
  </si>
  <si>
    <t>A+B</t>
  </si>
  <si>
    <t xml:space="preserve">  . S'</t>
  </si>
  <si>
    <t>( A + B )'</t>
  </si>
  <si>
    <t>Céréales pour semences</t>
  </si>
  <si>
    <t>Graminées prairiales pour semences</t>
  </si>
  <si>
    <t>Primes PAC cultures et jachères</t>
  </si>
  <si>
    <t>Ventes cult. fourr.</t>
  </si>
  <si>
    <t>UTH: origine / fin:</t>
  </si>
  <si>
    <t>15) Date de 1ère installation comme agriculteur à titre principal:</t>
  </si>
  <si>
    <t>N°FIA:</t>
  </si>
  <si>
    <t>2. Prairies et cultures fourragères.</t>
  </si>
  <si>
    <t xml:space="preserve">  ----------------------------------------------</t>
  </si>
  <si>
    <t xml:space="preserve"> ----------------------------------------------------</t>
  </si>
  <si>
    <t>PAC limoneux (hainaut)</t>
  </si>
  <si>
    <t>PAC sablo-limoneux</t>
  </si>
  <si>
    <t>PAC campine henuyère</t>
  </si>
  <si>
    <t>PAC limoneux (brabant-namur)</t>
  </si>
  <si>
    <t>PAC limoneux (liège)</t>
  </si>
  <si>
    <t>PAC condroz</t>
  </si>
  <si>
    <t>PAC herbagère (liège)</t>
  </si>
  <si>
    <t>PAC famenne</t>
  </si>
  <si>
    <t>PAC fagnes</t>
  </si>
  <si>
    <t>PAC ardennes</t>
  </si>
  <si>
    <t>PAC jurassique</t>
  </si>
  <si>
    <t xml:space="preserve">PAC hautes ardennes </t>
  </si>
  <si>
    <t>1</t>
  </si>
  <si>
    <t>Amélioration qualitative et reconversion</t>
  </si>
  <si>
    <t>2</t>
  </si>
  <si>
    <t>Diversification des activités</t>
  </si>
  <si>
    <t>3</t>
  </si>
  <si>
    <t>Adapt.exploit.but:réduct. coûts product.</t>
  </si>
  <si>
    <t>4</t>
  </si>
  <si>
    <t>Amél. des cond. de vie et de travail</t>
  </si>
  <si>
    <t>5</t>
  </si>
  <si>
    <t>Réalisation d'économies d'énergie</t>
  </si>
  <si>
    <t>6</t>
  </si>
  <si>
    <t>Amél. des cond. d' hygiène de l' élevage</t>
  </si>
  <si>
    <t>7</t>
  </si>
  <si>
    <t>Resp. des normes de bien-être des anim.</t>
  </si>
  <si>
    <t>8</t>
  </si>
  <si>
    <t>Protect. et amél. de l' environnement</t>
  </si>
  <si>
    <t>81</t>
  </si>
  <si>
    <t>Production de qualité différenciée</t>
  </si>
  <si>
    <t>9</t>
  </si>
  <si>
    <t>81. Production de qualité différenciée</t>
  </si>
  <si>
    <t>Agent traitant :</t>
  </si>
  <si>
    <t xml:space="preserve">Nombre d'UTH </t>
  </si>
  <si>
    <t>Parts dans l'exploitation (taux de reprise):</t>
  </si>
  <si>
    <t>(EUR/t)</t>
  </si>
  <si>
    <t>(t)</t>
  </si>
  <si>
    <t>(EUR)</t>
  </si>
  <si>
    <t>(ha)</t>
  </si>
  <si>
    <t>(t/ha)</t>
  </si>
  <si>
    <t>EUR/ha</t>
  </si>
  <si>
    <t>unitaire (EUR)</t>
  </si>
  <si>
    <t>(kg.pi/a)</t>
  </si>
  <si>
    <t>(ares)</t>
  </si>
  <si>
    <t>par tête (EUR)</t>
  </si>
  <si>
    <t>moyen (EUR)</t>
  </si>
  <si>
    <t>total (EUR)</t>
  </si>
  <si>
    <t>Prix (EUR)</t>
  </si>
  <si>
    <t>en l ou en kg</t>
  </si>
  <si>
    <t>au l ou au kg</t>
  </si>
  <si>
    <t>/tête ou /kg</t>
  </si>
  <si>
    <t>EUR/litre</t>
  </si>
  <si>
    <t>Prix moyen (EUR)</t>
  </si>
  <si>
    <t>Montant (EUR)</t>
  </si>
  <si>
    <t>Total annuel (EUR)</t>
  </si>
  <si>
    <t>Prix moy</t>
  </si>
  <si>
    <t>/pério (EUR)</t>
  </si>
  <si>
    <t>Total (EUR)</t>
  </si>
  <si>
    <t>Prix par tête (EUR)</t>
  </si>
  <si>
    <t>Prix unitaire (EUR)</t>
  </si>
  <si>
    <t>rempl. (EUR)</t>
  </si>
  <si>
    <t>en EUR</t>
  </si>
  <si>
    <t>nombre d'ha</t>
  </si>
  <si>
    <t>Montant total (EUR)</t>
  </si>
  <si>
    <t>Mode de calcul de la densité des bovins à viande par ha</t>
  </si>
  <si>
    <t>S=surface fourragère déterminée d'après les données reprises ci-avant (ha).</t>
  </si>
  <si>
    <t>Densité de bovins à viande par ha:</t>
  </si>
  <si>
    <t>Surface fourragère attribuée à la spéculation viande de l'exploitation concernée (ha):</t>
  </si>
  <si>
    <t>Surface fourragère attribuée à la spéculation viande (ha):</t>
  </si>
  <si>
    <t>EUR la tonne</t>
  </si>
  <si>
    <t>t de betteraves à 16%</t>
  </si>
  <si>
    <t>t. de chicorées à 17%</t>
  </si>
  <si>
    <t>kg(28000p/ha) soit</t>
  </si>
  <si>
    <t>ha), soit</t>
  </si>
  <si>
    <t>kg(35000p/ha) soit</t>
  </si>
  <si>
    <t>EUR la tonne.</t>
  </si>
  <si>
    <r>
      <t xml:space="preserve"> = S</t>
    </r>
    <r>
      <rPr>
        <vertAlign val="subscript"/>
        <sz val="8"/>
        <rFont val="Arial"/>
        <family val="2"/>
      </rPr>
      <t xml:space="preserve">1 </t>
    </r>
    <r>
      <rPr>
        <sz val="8"/>
        <rFont val="Arial"/>
        <family val="2"/>
      </rPr>
      <t>=</t>
    </r>
  </si>
  <si>
    <r>
      <t>A/S</t>
    </r>
    <r>
      <rPr>
        <vertAlign val="subscript"/>
        <sz val="8"/>
        <rFont val="Arial"/>
        <family val="2"/>
      </rPr>
      <t>1 :</t>
    </r>
  </si>
  <si>
    <r>
      <t>S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=</t>
    </r>
  </si>
  <si>
    <r>
      <t xml:space="preserve"> A / S</t>
    </r>
    <r>
      <rPr>
        <vertAlign val="subscript"/>
        <sz val="8"/>
        <rFont val="Arial"/>
        <family val="2"/>
      </rPr>
      <t xml:space="preserve">2 </t>
    </r>
    <r>
      <rPr>
        <sz val="8"/>
        <rFont val="Arial"/>
        <family val="2"/>
      </rPr>
      <t>=</t>
    </r>
  </si>
  <si>
    <t>néant</t>
  </si>
  <si>
    <t>----</t>
  </si>
  <si>
    <t>MONTANT BEF hTVA</t>
  </si>
  <si>
    <t>MONTANT EUR hTVA</t>
  </si>
  <si>
    <r>
      <t xml:space="preserve">            </t>
    </r>
    <r>
      <rPr>
        <i/>
        <sz val="10"/>
        <rFont val="Arial"/>
        <family val="2"/>
      </rPr>
      <t>Adresse privée:</t>
    </r>
  </si>
  <si>
    <t>Anciens dossiers</t>
  </si>
  <si>
    <t>Nouveau dossiers</t>
  </si>
  <si>
    <t>Prime RD</t>
  </si>
  <si>
    <t>Prime  unique</t>
  </si>
  <si>
    <t>BIO</t>
  </si>
  <si>
    <t xml:space="preserve"> </t>
  </si>
  <si>
    <t>b Tableau :</t>
  </si>
  <si>
    <t>a Contexte :</t>
  </si>
  <si>
    <t>Prime RD :</t>
  </si>
  <si>
    <t>Prime jeune :</t>
  </si>
  <si>
    <t>Bio</t>
  </si>
  <si>
    <t>Filière différenciée :</t>
  </si>
  <si>
    <t>Cahier des charges :</t>
  </si>
  <si>
    <t>Part dans l'exploitation :</t>
  </si>
  <si>
    <t>Prestations</t>
  </si>
  <si>
    <t>Favorable</t>
  </si>
  <si>
    <t>Défavorable</t>
  </si>
  <si>
    <t xml:space="preserve">Avis sur </t>
  </si>
  <si>
    <t>l'investis.</t>
  </si>
  <si>
    <t>Pam ou</t>
  </si>
  <si>
    <t>hors pam</t>
  </si>
  <si>
    <t>Pam</t>
  </si>
  <si>
    <t>Hors</t>
  </si>
  <si>
    <t>Garantie :</t>
  </si>
  <si>
    <t>Montant des</t>
  </si>
  <si>
    <t>Montant éligible des</t>
  </si>
  <si>
    <t>investissements T12</t>
  </si>
  <si>
    <t>investissements</t>
  </si>
  <si>
    <t>Frais et taxes</t>
  </si>
  <si>
    <t>(1) Buts des investissements:</t>
  </si>
  <si>
    <t>a</t>
  </si>
  <si>
    <t xml:space="preserve">17) Secteur laititer: </t>
  </si>
  <si>
    <t>production laitière au début du plan:</t>
  </si>
  <si>
    <t>Date de signature :</t>
  </si>
  <si>
    <t>Plan :</t>
  </si>
  <si>
    <t>1. Cultures agricoles commercialisables.</t>
  </si>
  <si>
    <t>3.Jachères, Agri-Environnement et Boisement.</t>
  </si>
  <si>
    <t>4 Quotas de l'exploitation.</t>
  </si>
  <si>
    <t>7, Productions bovines.</t>
  </si>
  <si>
    <t>7a, Nombre d'animaux présents ou engraissés annuellement.</t>
  </si>
  <si>
    <t>7b. Nombre moyen d'animaux achetés.</t>
  </si>
  <si>
    <t>8.Productions porcines.</t>
  </si>
  <si>
    <t>7d. Vente de bétail bovin.</t>
  </si>
  <si>
    <t>7c. Vente de produits laitiers.</t>
  </si>
  <si>
    <t>8a. Nombre moyen d'animaux présents ou engraissés annuellement.</t>
  </si>
  <si>
    <t>8b. Nombre moyen d'animaux achetés.</t>
  </si>
  <si>
    <t>8c. Vente de cheptel porcin.</t>
  </si>
  <si>
    <t>9. Productions équines.</t>
  </si>
  <si>
    <t>9.1.a. Nombre moyens d'animaux présents annuellement.</t>
  </si>
  <si>
    <t>9.1.b. Vente de cheptel chevalin et de ses productions.</t>
  </si>
  <si>
    <t>9.1.c. Charges spécifiques de la production chevaline.</t>
  </si>
  <si>
    <t>9.2.a. Nombre moyen d'animaux présents annuellement</t>
  </si>
  <si>
    <t>9.2.b. Vente de cheptel  et de ses productions</t>
  </si>
  <si>
    <t>9.2.c. Charges spécifiques</t>
  </si>
  <si>
    <t>10. Productions ovines.</t>
  </si>
  <si>
    <t>10a. Nombre moyen d'animaux présents annuellement.</t>
  </si>
  <si>
    <t>10b. Vente de cheptel ovin et de ses productions.</t>
  </si>
  <si>
    <t>10c. Charges payées du secteur ovin.</t>
  </si>
  <si>
    <t>11. Productions caprines.</t>
  </si>
  <si>
    <t>11a. Nombre d'animaux présents annuellement.</t>
  </si>
  <si>
    <t>11b. Vente de cheptel caprin et de ses productions.</t>
  </si>
  <si>
    <t>11c. Charges payées du secteur caprin.</t>
  </si>
  <si>
    <t>12. Tourisme à la ferme.</t>
  </si>
  <si>
    <t>13. Spéculations particulières</t>
  </si>
  <si>
    <t xml:space="preserve"> 13.a.Nombre d'animaux présents annuellement</t>
  </si>
  <si>
    <t xml:space="preserve"> 13.b.  Vente de cheptel et de ses productions</t>
  </si>
  <si>
    <t xml:space="preserve"> 13.c. Charges payées des spéculations particulières</t>
  </si>
  <si>
    <t>14. Petit Elevage</t>
  </si>
  <si>
    <t xml:space="preserve">   14a  Contrats d'intégration</t>
  </si>
  <si>
    <t xml:space="preserve">   14b Nombre d'animaux présents annuellement</t>
  </si>
  <si>
    <t xml:space="preserve">  14c Vente d'animaux et/ou de leurs produits</t>
  </si>
  <si>
    <t xml:space="preserve">  14d Charges spécifiques du Petit Elevage</t>
  </si>
  <si>
    <t>16. Amortissement et entretien des bâtiments d'exploitation, plantations et améliorations foncières.</t>
  </si>
  <si>
    <t xml:space="preserve">Investissement départ </t>
  </si>
  <si>
    <t>Investissement  1 plan</t>
  </si>
  <si>
    <t>Nombre d'ha</t>
  </si>
  <si>
    <t>Investissement  2 plan</t>
  </si>
  <si>
    <t>Investissement  3 plan</t>
  </si>
  <si>
    <t>Investissement  4 plan</t>
  </si>
  <si>
    <t>Investissement  5 plan</t>
  </si>
  <si>
    <t>Investissement  6 plan</t>
  </si>
  <si>
    <t>Investissement  7 plan</t>
  </si>
  <si>
    <t>Investissement  8 plan</t>
  </si>
  <si>
    <t>Vaches laitieres</t>
  </si>
  <si>
    <t>Bétail laitier</t>
  </si>
  <si>
    <t>Bétail viandeux</t>
  </si>
  <si>
    <t xml:space="preserve">Vaches </t>
  </si>
  <si>
    <t>5a, Spéculations</t>
  </si>
  <si>
    <t>6. Cultures horticoles.</t>
  </si>
  <si>
    <t>-</t>
  </si>
  <si>
    <t>-Champignons</t>
  </si>
  <si>
    <t>-Chicons forcés</t>
  </si>
  <si>
    <t>-Courgettes</t>
  </si>
  <si>
    <t>-Plants à repiquer</t>
  </si>
  <si>
    <t>-Persil</t>
  </si>
  <si>
    <t>-Cerfeuil</t>
  </si>
  <si>
    <t>-Laitues</t>
  </si>
  <si>
    <t>-Poivrons</t>
  </si>
  <si>
    <t>-Tomates</t>
  </si>
  <si>
    <t>-Carottes</t>
  </si>
  <si>
    <t>-Brocolis</t>
  </si>
  <si>
    <t>-Choux divers</t>
  </si>
  <si>
    <t>-Haricots</t>
  </si>
  <si>
    <t>-Oignons</t>
  </si>
  <si>
    <t>-Poireaux</t>
  </si>
  <si>
    <t>-Pois</t>
  </si>
  <si>
    <t>-Potirons</t>
  </si>
  <si>
    <t>-Racines</t>
  </si>
  <si>
    <t>-Annuelles grosses</t>
  </si>
  <si>
    <t>-Annuelles petites</t>
  </si>
  <si>
    <t>-Géranium lierres</t>
  </si>
  <si>
    <t>-Géranium dressés</t>
  </si>
  <si>
    <t>-Fleurs coupées</t>
  </si>
  <si>
    <t>-Plantes en pots</t>
  </si>
  <si>
    <t>-Chrysanthèmes</t>
  </si>
  <si>
    <t>-Vivaces</t>
  </si>
  <si>
    <t>-Bisannuelles</t>
  </si>
  <si>
    <t>-Plantes à massif</t>
  </si>
  <si>
    <t>-Sapins de Noël</t>
  </si>
  <si>
    <t>-Fruitiers</t>
  </si>
  <si>
    <t>-Ornement</t>
  </si>
  <si>
    <t>-Forestiers</t>
  </si>
  <si>
    <t>-Jeunes plants</t>
  </si>
  <si>
    <t>-Conifères petits</t>
  </si>
  <si>
    <t>-Rosiers</t>
  </si>
  <si>
    <t>-Conifères</t>
  </si>
  <si>
    <t>-Arbustes petits</t>
  </si>
  <si>
    <t>-Arbustes</t>
  </si>
  <si>
    <t>-Containers petits</t>
  </si>
  <si>
    <t>-Containers</t>
  </si>
  <si>
    <t>-Hydroponique</t>
  </si>
  <si>
    <t>6b,Charges payées pour les cultures horticoles</t>
  </si>
  <si>
    <t>-Semences et plants</t>
  </si>
  <si>
    <t xml:space="preserve">-Fumure et substrat </t>
  </si>
  <si>
    <t>-Produits phyto.</t>
  </si>
  <si>
    <t>-Carburant (machines)</t>
  </si>
  <si>
    <t>-Combustible (chauffage)</t>
  </si>
  <si>
    <t>-Location de matériel</t>
  </si>
  <si>
    <t>-Travaux tiers (entreprise)</t>
  </si>
  <si>
    <t>-Conditionnement</t>
  </si>
  <si>
    <t>-Frais généraux</t>
  </si>
  <si>
    <t>-M.O. fixe</t>
  </si>
  <si>
    <t>-M.O. occasionnelle</t>
  </si>
  <si>
    <t>-Pleine terre retardé</t>
  </si>
  <si>
    <t>Bovins de moins de 6 mois</t>
  </si>
  <si>
    <t>RAPT_BOV_M6_AV</t>
  </si>
  <si>
    <t>RAPT_BOV_M6_AP</t>
  </si>
  <si>
    <t>RAPT_UGB_M6_AV</t>
  </si>
  <si>
    <t>RAPT_UGB_M6_AP</t>
  </si>
  <si>
    <t>Coefficient</t>
  </si>
  <si>
    <t>Bovins de remplact. de moins de 6 mois</t>
  </si>
  <si>
    <t>5. Cultures agricoles particulières et diversifications horticoles.</t>
  </si>
  <si>
    <t>5b,Charges payées pour les cultures agricoles particulières et diversifications horticoles.</t>
  </si>
  <si>
    <t>Maraîchères couvertes:</t>
  </si>
  <si>
    <t>Maraîchères extérieures:</t>
  </si>
  <si>
    <t>Ornementales couvertes:</t>
  </si>
  <si>
    <t>Ornementales extérieures:</t>
  </si>
  <si>
    <t>Pépinières/Arbustes:</t>
  </si>
  <si>
    <t>Fruitières:</t>
  </si>
  <si>
    <t xml:space="preserve">ME-S3-02.07-PR01-DA02 </t>
  </si>
</sst>
</file>

<file path=xl/styles.xml><?xml version="1.0" encoding="utf-8"?>
<styleSheet xmlns="http://schemas.openxmlformats.org/spreadsheetml/2006/main">
  <numFmts count="30">
    <numFmt numFmtId="173" formatCode="#,##0\ &quot;FB&quot;;[Red]\-#,##0\ &quot;FB&quot;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General_)"/>
    <numFmt numFmtId="181" formatCode="#0\ \F"/>
    <numFmt numFmtId="182" formatCode="0_)"/>
    <numFmt numFmtId="183" formatCode="#,##0_)"/>
    <numFmt numFmtId="184" formatCode="0.0"/>
    <numFmt numFmtId="185" formatCode="d\-mmmm\-yyyy"/>
    <numFmt numFmtId="186" formatCode="#,###,##0\ \F"/>
    <numFmt numFmtId="187" formatCode="&quot;Fermage:&quot;#,##0&quot;F/Ha&quot;"/>
    <numFmt numFmtId="188" formatCode="&quot;1.&quot;@"/>
    <numFmt numFmtId="189" formatCode="#,##0\ &quot;Ha&quot;.\ 00\ &quot;a&quot;\ 00\ &quot;ca&quot;"/>
    <numFmt numFmtId="190" formatCode="###,###,###"/>
    <numFmt numFmtId="191" formatCode="###\.###\.###"/>
    <numFmt numFmtId="192" formatCode="d\ mmmm\ yyyy"/>
    <numFmt numFmtId="193" formatCode="#.##000"/>
    <numFmt numFmtId="194" formatCode="\$#,#00"/>
    <numFmt numFmtId="195" formatCode="#,#00"/>
    <numFmt numFmtId="196" formatCode="#,"/>
    <numFmt numFmtId="197" formatCode="dd/mm/yy_)"/>
    <numFmt numFmtId="198" formatCode="#,##0.00\ \€;\-#,##0.00\ \€"/>
    <numFmt numFmtId="199" formatCode="00#\-0######\-##"/>
    <numFmt numFmtId="200" formatCode="00#\-#######\-##"/>
    <numFmt numFmtId="201" formatCode="&quot;Fermage:&quot;#,##0.00&quot;EUR/ha&quot;"/>
    <numFmt numFmtId="202" formatCode="_-* #,##0.00\ [$€-1]_-;\-* #,##0.00\ [$€-1]_-;_-* &quot;-&quot;??\ [$€-1]_-"/>
    <numFmt numFmtId="203" formatCode="#,##0\ &quot;BEF&quot;;[Red]\-#,##0\ &quot;BEF&quot;"/>
    <numFmt numFmtId="204" formatCode="#,##0.00\ [$€-1];\-#,##0.00\ [$€-1]"/>
    <numFmt numFmtId="205" formatCode="#,##0.00\ [$€-1]"/>
    <numFmt numFmtId="206" formatCode="#,##0.000"/>
  </numFmts>
  <fonts count="41">
    <font>
      <sz val="12"/>
      <name val="Courier"/>
    </font>
    <font>
      <sz val="10"/>
      <name val="Arial"/>
    </font>
    <font>
      <sz val="10"/>
      <name val="Times New Roman"/>
    </font>
    <font>
      <b/>
      <u/>
      <sz val="12"/>
      <name val="Courier"/>
      <family val="3"/>
    </font>
    <font>
      <sz val="10"/>
      <color indexed="8"/>
      <name val="MS Sans Serif"/>
    </font>
    <font>
      <sz val="1"/>
      <color indexed="8"/>
      <name val="Courier"/>
    </font>
    <font>
      <b/>
      <sz val="1"/>
      <color indexed="8"/>
      <name val="Courier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i/>
      <u/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i/>
      <u/>
      <sz val="8"/>
      <name val="Arial"/>
      <family val="2"/>
    </font>
    <font>
      <b/>
      <u/>
      <sz val="8"/>
      <name val="Arial"/>
      <family val="2"/>
    </font>
    <font>
      <b/>
      <sz val="8"/>
      <color indexed="9"/>
      <name val="Arial"/>
      <family val="2"/>
    </font>
    <font>
      <vertAlign val="subscript"/>
      <sz val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i/>
      <u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sz val="10"/>
      <color indexed="8"/>
      <name val="Arial"/>
    </font>
    <font>
      <sz val="9"/>
      <name val="Arial"/>
      <family val="2"/>
    </font>
    <font>
      <sz val="10"/>
      <name val="Times New Roman"/>
      <family val="1"/>
    </font>
    <font>
      <b/>
      <sz val="12"/>
      <color indexed="10"/>
      <name val="Arial"/>
      <family val="2"/>
    </font>
    <font>
      <b/>
      <i/>
      <sz val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180" fontId="0" fillId="0" borderId="0"/>
    <xf numFmtId="0" fontId="5" fillId="0" borderId="0">
      <protection locked="0"/>
    </xf>
    <xf numFmtId="196" fontId="6" fillId="0" borderId="0">
      <protection locked="0"/>
    </xf>
    <xf numFmtId="196" fontId="6" fillId="0" borderId="0">
      <protection locked="0"/>
    </xf>
    <xf numFmtId="193" fontId="5" fillId="0" borderId="0">
      <protection locked="0"/>
    </xf>
    <xf numFmtId="195" fontId="5" fillId="0" borderId="0">
      <protection locked="0"/>
    </xf>
    <xf numFmtId="179" fontId="1" fillId="0" borderId="0" applyFont="0" applyFill="0" applyBorder="0" applyAlignment="0" applyProtection="0"/>
    <xf numFmtId="194" fontId="5" fillId="0" borderId="0">
      <protection locked="0"/>
    </xf>
    <xf numFmtId="178" fontId="1" fillId="0" borderId="0" applyFont="0" applyFill="0" applyBorder="0" applyAlignment="0" applyProtection="0"/>
    <xf numFmtId="0" fontId="2" fillId="0" borderId="0"/>
    <xf numFmtId="0" fontId="4" fillId="0" borderId="0"/>
    <xf numFmtId="0" fontId="36" fillId="0" borderId="0"/>
    <xf numFmtId="0" fontId="4" fillId="0" borderId="0"/>
    <xf numFmtId="9" fontId="1" fillId="0" borderId="0" applyFont="0" applyFill="0" applyBorder="0" applyAlignment="0" applyProtection="0"/>
    <xf numFmtId="196" fontId="5" fillId="0" borderId="2">
      <protection locked="0"/>
    </xf>
  </cellStyleXfs>
  <cellXfs count="1492">
    <xf numFmtId="180" fontId="0" fillId="0" borderId="0" xfId="0"/>
    <xf numFmtId="180" fontId="0" fillId="0" borderId="0" xfId="0" applyBorder="1"/>
    <xf numFmtId="180" fontId="0" fillId="0" borderId="3" xfId="0" quotePrefix="1" applyBorder="1"/>
    <xf numFmtId="14" fontId="0" fillId="0" borderId="4" xfId="0" applyNumberFormat="1" applyBorder="1"/>
    <xf numFmtId="180" fontId="0" fillId="0" borderId="3" xfId="0" applyBorder="1"/>
    <xf numFmtId="180" fontId="0" fillId="0" borderId="5" xfId="0" applyBorder="1"/>
    <xf numFmtId="180" fontId="0" fillId="0" borderId="6" xfId="0" applyBorder="1"/>
    <xf numFmtId="180" fontId="0" fillId="0" borderId="7" xfId="0" quotePrefix="1" applyBorder="1"/>
    <xf numFmtId="180" fontId="0" fillId="0" borderId="8" xfId="0" applyBorder="1"/>
    <xf numFmtId="180" fontId="0" fillId="0" borderId="9" xfId="0" applyBorder="1"/>
    <xf numFmtId="180" fontId="0" fillId="0" borderId="10" xfId="0" applyBorder="1"/>
    <xf numFmtId="180" fontId="3" fillId="0" borderId="0" xfId="0" applyFont="1"/>
    <xf numFmtId="180" fontId="0" fillId="0" borderId="11" xfId="0" quotePrefix="1" applyBorder="1"/>
    <xf numFmtId="180" fontId="0" fillId="0" borderId="12" xfId="0" applyBorder="1"/>
    <xf numFmtId="180" fontId="0" fillId="0" borderId="4" xfId="0" applyBorder="1"/>
    <xf numFmtId="180" fontId="0" fillId="0" borderId="13" xfId="0" applyBorder="1"/>
    <xf numFmtId="180" fontId="0" fillId="0" borderId="0" xfId="0" applyFill="1" applyBorder="1"/>
    <xf numFmtId="0" fontId="0" fillId="0" borderId="4" xfId="0" applyNumberFormat="1" applyBorder="1"/>
    <xf numFmtId="3" fontId="0" fillId="0" borderId="4" xfId="0" applyNumberFormat="1" applyBorder="1"/>
    <xf numFmtId="180" fontId="0" fillId="0" borderId="0" xfId="0" applyProtection="1">
      <protection locked="0"/>
    </xf>
    <xf numFmtId="14" fontId="0" fillId="0" borderId="4" xfId="0" quotePrefix="1" applyNumberFormat="1" applyBorder="1"/>
    <xf numFmtId="180" fontId="0" fillId="0" borderId="14" xfId="0" applyNumberFormat="1" applyBorder="1"/>
    <xf numFmtId="180" fontId="0" fillId="2" borderId="0" xfId="0" applyFill="1"/>
    <xf numFmtId="180" fontId="0" fillId="0" borderId="13" xfId="0" quotePrefix="1" applyBorder="1"/>
    <xf numFmtId="1" fontId="0" fillId="0" borderId="14" xfId="0" applyNumberFormat="1" applyBorder="1"/>
    <xf numFmtId="180" fontId="0" fillId="0" borderId="0" xfId="0" quotePrefix="1" applyFill="1" applyBorder="1"/>
    <xf numFmtId="180" fontId="7" fillId="0" borderId="0" xfId="0" applyFont="1"/>
    <xf numFmtId="4" fontId="9" fillId="0" borderId="0" xfId="0" applyNumberFormat="1" applyFont="1" applyBorder="1" applyProtection="1">
      <protection locked="0"/>
    </xf>
    <xf numFmtId="4" fontId="9" fillId="3" borderId="15" xfId="0" applyNumberFormat="1" applyFont="1" applyFill="1" applyBorder="1" applyAlignment="1" applyProtection="1">
      <alignment horizontal="right"/>
      <protection locked="0"/>
    </xf>
    <xf numFmtId="4" fontId="9" fillId="3" borderId="16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Alignment="1" applyProtection="1">
      <alignment horizontal="right"/>
      <protection locked="0"/>
    </xf>
    <xf numFmtId="4" fontId="9" fillId="0" borderId="0" xfId="0" applyNumberFormat="1" applyFont="1" applyFill="1" applyBorder="1" applyAlignment="1" applyProtection="1">
      <alignment horizontal="right"/>
      <protection locked="0"/>
    </xf>
    <xf numFmtId="4" fontId="9" fillId="4" borderId="10" xfId="0" applyNumberFormat="1" applyFont="1" applyFill="1" applyBorder="1" applyAlignment="1" applyProtection="1">
      <alignment horizontal="right"/>
      <protection locked="0"/>
    </xf>
    <xf numFmtId="0" fontId="7" fillId="0" borderId="0" xfId="9" applyFont="1"/>
    <xf numFmtId="0" fontId="20" fillId="0" borderId="0" xfId="12" applyFont="1" applyFill="1" applyBorder="1" applyAlignment="1">
      <alignment horizontal="center"/>
    </xf>
    <xf numFmtId="0" fontId="20" fillId="0" borderId="1" xfId="12" applyFont="1" applyFill="1" applyBorder="1" applyAlignment="1">
      <alignment horizontal="left" wrapText="1"/>
    </xf>
    <xf numFmtId="0" fontId="20" fillId="0" borderId="1" xfId="12" applyFont="1" applyFill="1" applyBorder="1" applyAlignment="1">
      <alignment horizontal="center"/>
    </xf>
    <xf numFmtId="0" fontId="20" fillId="0" borderId="17" xfId="12" applyFont="1" applyFill="1" applyBorder="1" applyAlignment="1">
      <alignment horizontal="left" wrapText="1"/>
    </xf>
    <xf numFmtId="0" fontId="20" fillId="0" borderId="1" xfId="10" applyFont="1" applyFill="1" applyBorder="1" applyAlignment="1">
      <alignment horizontal="left" wrapText="1"/>
    </xf>
    <xf numFmtId="0" fontId="7" fillId="0" borderId="0" xfId="9" quotePrefix="1" applyFont="1" applyAlignment="1">
      <alignment horizontal="left"/>
    </xf>
    <xf numFmtId="0" fontId="7" fillId="0" borderId="0" xfId="9" applyFont="1" applyAlignment="1">
      <alignment horizontal="left"/>
    </xf>
    <xf numFmtId="0" fontId="7" fillId="0" borderId="0" xfId="9" applyFont="1" applyAlignment="1">
      <alignment horizontal="right"/>
    </xf>
    <xf numFmtId="0" fontId="7" fillId="5" borderId="0" xfId="9" applyFont="1" applyFill="1"/>
    <xf numFmtId="180" fontId="7" fillId="0" borderId="0" xfId="0" applyFont="1" applyBorder="1"/>
    <xf numFmtId="180" fontId="21" fillId="0" borderId="0" xfId="0" applyFont="1"/>
    <xf numFmtId="180" fontId="22" fillId="0" borderId="0" xfId="0" applyFont="1"/>
    <xf numFmtId="180" fontId="22" fillId="6" borderId="0" xfId="0" applyFont="1" applyFill="1" applyAlignment="1">
      <alignment horizontal="left"/>
    </xf>
    <xf numFmtId="180" fontId="7" fillId="0" borderId="0" xfId="0" applyFont="1" applyAlignment="1">
      <alignment horizontal="left"/>
    </xf>
    <xf numFmtId="180" fontId="7" fillId="6" borderId="18" xfId="0" applyFont="1" applyFill="1" applyBorder="1"/>
    <xf numFmtId="0" fontId="7" fillId="4" borderId="19" xfId="0" applyNumberFormat="1" applyFont="1" applyFill="1" applyBorder="1"/>
    <xf numFmtId="180" fontId="7" fillId="6" borderId="20" xfId="0" applyFont="1" applyFill="1" applyBorder="1"/>
    <xf numFmtId="180" fontId="7" fillId="4" borderId="16" xfId="0" applyFont="1" applyFill="1" applyBorder="1"/>
    <xf numFmtId="180" fontId="7" fillId="6" borderId="16" xfId="0" applyFont="1" applyFill="1" applyBorder="1"/>
    <xf numFmtId="180" fontId="7" fillId="6" borderId="21" xfId="0" applyFont="1" applyFill="1" applyBorder="1"/>
    <xf numFmtId="14" fontId="7" fillId="4" borderId="22" xfId="0" applyNumberFormat="1" applyFont="1" applyFill="1" applyBorder="1"/>
    <xf numFmtId="180" fontId="22" fillId="6" borderId="0" xfId="0" applyFont="1" applyFill="1" applyBorder="1"/>
    <xf numFmtId="180" fontId="7" fillId="6" borderId="0" xfId="0" applyFont="1" applyFill="1" applyBorder="1"/>
    <xf numFmtId="180" fontId="7" fillId="0" borderId="8" xfId="0" applyFont="1" applyBorder="1"/>
    <xf numFmtId="180" fontId="22" fillId="0" borderId="0" xfId="0" applyFont="1" applyBorder="1"/>
    <xf numFmtId="180" fontId="7" fillId="0" borderId="0" xfId="0" applyFont="1" applyFill="1" applyBorder="1"/>
    <xf numFmtId="180" fontId="7" fillId="4" borderId="0" xfId="0" applyFont="1" applyFill="1" applyBorder="1"/>
    <xf numFmtId="180" fontId="7" fillId="0" borderId="9" xfId="0" applyFont="1" applyBorder="1"/>
    <xf numFmtId="14" fontId="7" fillId="0" borderId="0" xfId="0" applyNumberFormat="1" applyFont="1" applyFill="1" applyBorder="1"/>
    <xf numFmtId="14" fontId="7" fillId="4" borderId="0" xfId="0" applyNumberFormat="1" applyFont="1" applyFill="1" applyBorder="1"/>
    <xf numFmtId="180" fontId="7" fillId="7" borderId="0" xfId="0" applyFont="1" applyFill="1" applyBorder="1"/>
    <xf numFmtId="14" fontId="7" fillId="0" borderId="0" xfId="0" applyNumberFormat="1" applyFont="1" applyBorder="1"/>
    <xf numFmtId="200" fontId="7" fillId="4" borderId="0" xfId="0" applyNumberFormat="1" applyFont="1" applyFill="1" applyBorder="1"/>
    <xf numFmtId="3" fontId="7" fillId="4" borderId="0" xfId="0" applyNumberFormat="1" applyFont="1" applyFill="1" applyBorder="1"/>
    <xf numFmtId="14" fontId="7" fillId="4" borderId="0" xfId="0" applyNumberFormat="1" applyFont="1" applyFill="1"/>
    <xf numFmtId="0" fontId="7" fillId="4" borderId="0" xfId="0" applyNumberFormat="1" applyFont="1" applyFill="1" applyAlignment="1">
      <alignment horizontal="center"/>
    </xf>
    <xf numFmtId="180" fontId="7" fillId="0" borderId="0" xfId="0" applyFont="1" applyFill="1" applyAlignment="1">
      <alignment horizontal="center"/>
    </xf>
    <xf numFmtId="0" fontId="21" fillId="0" borderId="0" xfId="9" applyFont="1" applyAlignment="1"/>
    <xf numFmtId="0" fontId="22" fillId="0" borderId="0" xfId="9" applyFont="1" applyAlignment="1"/>
    <xf numFmtId="189" fontId="7" fillId="0" borderId="0" xfId="9" applyNumberFormat="1" applyFont="1"/>
    <xf numFmtId="0" fontId="21" fillId="0" borderId="0" xfId="9" applyFont="1" applyAlignment="1">
      <alignment horizontal="centerContinuous"/>
    </xf>
    <xf numFmtId="0" fontId="7" fillId="0" borderId="0" xfId="9" applyFont="1" applyAlignment="1"/>
    <xf numFmtId="0" fontId="7" fillId="0" borderId="0" xfId="9" applyFont="1" applyBorder="1"/>
    <xf numFmtId="0" fontId="22" fillId="8" borderId="0" xfId="9" quotePrefix="1" applyFont="1" applyFill="1" applyAlignment="1">
      <alignment horizontal="left"/>
    </xf>
    <xf numFmtId="0" fontId="22" fillId="8" borderId="0" xfId="9" applyFont="1" applyFill="1"/>
    <xf numFmtId="0" fontId="7" fillId="2" borderId="0" xfId="9" applyFont="1" applyFill="1" applyAlignment="1">
      <alignment horizontal="center"/>
    </xf>
    <xf numFmtId="0" fontId="7" fillId="2" borderId="0" xfId="9" applyFont="1" applyFill="1"/>
    <xf numFmtId="0" fontId="7" fillId="6" borderId="7" xfId="9" quotePrefix="1" applyFont="1" applyFill="1" applyBorder="1" applyAlignment="1">
      <alignment horizontal="left"/>
    </xf>
    <xf numFmtId="0" fontId="22" fillId="4" borderId="0" xfId="9" applyFont="1" applyFill="1" applyAlignment="1">
      <alignment horizontal="left"/>
    </xf>
    <xf numFmtId="0" fontId="24" fillId="0" borderId="0" xfId="9" applyFont="1" applyAlignment="1">
      <alignment horizontal="left"/>
    </xf>
    <xf numFmtId="0" fontId="23" fillId="2" borderId="20" xfId="9" applyFont="1" applyFill="1" applyBorder="1"/>
    <xf numFmtId="180" fontId="7" fillId="2" borderId="0" xfId="0" applyFont="1" applyFill="1" applyBorder="1"/>
    <xf numFmtId="0" fontId="7" fillId="4" borderId="0" xfId="9" applyFont="1" applyFill="1" applyAlignment="1">
      <alignment horizontal="left"/>
    </xf>
    <xf numFmtId="180" fontId="7" fillId="0" borderId="20" xfId="0" applyFont="1" applyFill="1" applyBorder="1"/>
    <xf numFmtId="0" fontId="7" fillId="3" borderId="0" xfId="9" applyFont="1" applyFill="1" applyBorder="1" applyAlignment="1">
      <alignment horizontal="left"/>
    </xf>
    <xf numFmtId="0" fontId="7" fillId="0" borderId="21" xfId="9" applyFont="1" applyBorder="1"/>
    <xf numFmtId="0" fontId="7" fillId="0" borderId="23" xfId="9" applyFont="1" applyBorder="1"/>
    <xf numFmtId="0" fontId="7" fillId="0" borderId="22" xfId="9" applyFont="1" applyBorder="1"/>
    <xf numFmtId="0" fontId="7" fillId="6" borderId="7" xfId="9" applyFont="1" applyFill="1" applyBorder="1"/>
    <xf numFmtId="0" fontId="7" fillId="4" borderId="0" xfId="9" applyFont="1" applyFill="1"/>
    <xf numFmtId="0" fontId="7" fillId="9" borderId="0" xfId="9" applyFont="1" applyFill="1"/>
    <xf numFmtId="0" fontId="24" fillId="9" borderId="0" xfId="9" applyFont="1" applyFill="1" applyAlignment="1">
      <alignment horizontal="left"/>
    </xf>
    <xf numFmtId="191" fontId="7" fillId="4" borderId="0" xfId="9" applyNumberFormat="1" applyFont="1" applyFill="1"/>
    <xf numFmtId="0" fontId="24" fillId="4" borderId="0" xfId="9" applyFont="1" applyFill="1" applyAlignment="1">
      <alignment horizontal="left"/>
    </xf>
    <xf numFmtId="191" fontId="7" fillId="0" borderId="0" xfId="9" applyNumberFormat="1" applyFont="1" applyFill="1"/>
    <xf numFmtId="190" fontId="7" fillId="0" borderId="0" xfId="9" applyNumberFormat="1" applyFont="1" applyFill="1"/>
    <xf numFmtId="0" fontId="7" fillId="0" borderId="0" xfId="9" quotePrefix="1" applyFont="1" applyAlignment="1"/>
    <xf numFmtId="3" fontId="7" fillId="4" borderId="0" xfId="9" quotePrefix="1" applyNumberFormat="1" applyFont="1" applyFill="1" applyAlignment="1">
      <alignment horizontal="centerContinuous"/>
    </xf>
    <xf numFmtId="183" fontId="7" fillId="4" borderId="0" xfId="9" applyNumberFormat="1" applyFont="1" applyFill="1" applyAlignment="1">
      <alignment horizontal="centerContinuous"/>
    </xf>
    <xf numFmtId="0" fontId="7" fillId="7" borderId="0" xfId="9" applyFont="1" applyFill="1"/>
    <xf numFmtId="0" fontId="7" fillId="4" borderId="0" xfId="9" applyFont="1" applyFill="1" applyAlignment="1">
      <alignment horizontal="centerContinuous"/>
    </xf>
    <xf numFmtId="1" fontId="7" fillId="4" borderId="0" xfId="9" quotePrefix="1" applyNumberFormat="1" applyFont="1" applyFill="1" applyAlignment="1">
      <alignment horizontal="centerContinuous"/>
    </xf>
    <xf numFmtId="1" fontId="7" fillId="0" borderId="0" xfId="13" applyNumberFormat="1" applyFont="1" applyAlignment="1">
      <alignment horizontal="left"/>
    </xf>
    <xf numFmtId="15" fontId="7" fillId="0" borderId="0" xfId="9" applyNumberFormat="1" applyFont="1"/>
    <xf numFmtId="14" fontId="7" fillId="0" borderId="0" xfId="9" quotePrefix="1" applyNumberFormat="1" applyFont="1" applyAlignment="1">
      <alignment horizontal="center"/>
    </xf>
    <xf numFmtId="0" fontId="7" fillId="0" borderId="0" xfId="9" applyFont="1" applyFill="1" applyAlignment="1">
      <alignment horizontal="center"/>
    </xf>
    <xf numFmtId="0" fontId="25" fillId="0" borderId="0" xfId="9" applyFont="1"/>
    <xf numFmtId="14" fontId="7" fillId="7" borderId="0" xfId="9" applyNumberFormat="1" applyFont="1" applyFill="1" applyProtection="1"/>
    <xf numFmtId="180" fontId="7" fillId="4" borderId="0" xfId="0" applyFont="1" applyFill="1" applyAlignment="1">
      <alignment horizontal="left"/>
    </xf>
    <xf numFmtId="0" fontId="7" fillId="0" borderId="0" xfId="9" applyFont="1" applyFill="1"/>
    <xf numFmtId="0" fontId="7" fillId="0" borderId="24" xfId="9" applyFont="1" applyBorder="1"/>
    <xf numFmtId="0" fontId="7" fillId="0" borderId="25" xfId="9" applyFont="1" applyBorder="1"/>
    <xf numFmtId="49" fontId="7" fillId="3" borderId="25" xfId="9" applyNumberFormat="1" applyFont="1" applyFill="1" applyBorder="1" applyAlignment="1">
      <alignment horizontal="centerContinuous"/>
    </xf>
    <xf numFmtId="180" fontId="7" fillId="0" borderId="25" xfId="0" applyFont="1" applyBorder="1" applyAlignment="1">
      <alignment horizontal="centerContinuous"/>
    </xf>
    <xf numFmtId="49" fontId="7" fillId="3" borderId="25" xfId="9" applyNumberFormat="1" applyFont="1" applyFill="1" applyBorder="1" applyAlignment="1"/>
    <xf numFmtId="180" fontId="7" fillId="0" borderId="25" xfId="0" applyFont="1" applyFill="1" applyBorder="1"/>
    <xf numFmtId="180" fontId="7" fillId="0" borderId="26" xfId="0" applyFont="1" applyBorder="1"/>
    <xf numFmtId="0" fontId="7" fillId="0" borderId="0" xfId="9" applyFont="1" applyBorder="1" applyAlignment="1"/>
    <xf numFmtId="0" fontId="26" fillId="0" borderId="0" xfId="9" applyFont="1" applyFill="1" applyBorder="1"/>
    <xf numFmtId="0" fontId="7" fillId="0" borderId="0" xfId="9" applyFont="1" applyFill="1" applyBorder="1" applyAlignment="1">
      <alignment horizontal="center"/>
    </xf>
    <xf numFmtId="0" fontId="7" fillId="0" borderId="0" xfId="9" applyFont="1" applyFill="1" applyBorder="1"/>
    <xf numFmtId="2" fontId="7" fillId="4" borderId="0" xfId="9" applyNumberFormat="1" applyFont="1" applyFill="1" applyAlignment="1">
      <alignment horizontal="right"/>
    </xf>
    <xf numFmtId="0" fontId="7" fillId="9" borderId="0" xfId="9" applyFont="1" applyFill="1" applyAlignment="1">
      <alignment horizontal="left"/>
    </xf>
    <xf numFmtId="180" fontId="7" fillId="7" borderId="0" xfId="0" applyFont="1" applyFill="1" applyAlignment="1">
      <alignment horizontal="center"/>
    </xf>
    <xf numFmtId="0" fontId="7" fillId="0" borderId="0" xfId="9" applyFont="1" applyFill="1" applyAlignment="1">
      <alignment horizontal="left"/>
    </xf>
    <xf numFmtId="0" fontId="22" fillId="0" borderId="0" xfId="9" applyFont="1" applyAlignment="1">
      <alignment horizontal="centerContinuous"/>
    </xf>
    <xf numFmtId="2" fontId="7" fillId="3" borderId="0" xfId="9" applyNumberFormat="1" applyFont="1" applyFill="1" applyAlignment="1">
      <alignment horizontal="right"/>
    </xf>
    <xf numFmtId="2" fontId="7" fillId="3" borderId="0" xfId="9" applyNumberFormat="1" applyFont="1" applyFill="1" applyAlignment="1">
      <alignment horizontal="centerContinuous"/>
    </xf>
    <xf numFmtId="180" fontId="7" fillId="0" borderId="0" xfId="0" applyFont="1" applyAlignment="1">
      <alignment horizontal="centerContinuous"/>
    </xf>
    <xf numFmtId="0" fontId="7" fillId="0" borderId="0" xfId="9" applyFont="1" applyAlignment="1">
      <alignment horizontal="centerContinuous"/>
    </xf>
    <xf numFmtId="2" fontId="7" fillId="7" borderId="0" xfId="9" applyNumberFormat="1" applyFont="1" applyFill="1" applyAlignment="1">
      <alignment horizontal="right"/>
    </xf>
    <xf numFmtId="2" fontId="7" fillId="7" borderId="0" xfId="9" applyNumberFormat="1" applyFont="1" applyFill="1" applyAlignment="1">
      <alignment horizontal="centerContinuous"/>
    </xf>
    <xf numFmtId="2" fontId="7" fillId="7" borderId="27" xfId="9" applyNumberFormat="1" applyFont="1" applyFill="1" applyBorder="1" applyAlignment="1">
      <alignment horizontal="right"/>
    </xf>
    <xf numFmtId="0" fontId="7" fillId="0" borderId="27" xfId="9" applyFont="1" applyBorder="1"/>
    <xf numFmtId="2" fontId="7" fillId="7" borderId="27" xfId="9" applyNumberFormat="1" applyFont="1" applyFill="1" applyBorder="1" applyAlignment="1">
      <alignment horizontal="centerContinuous"/>
    </xf>
    <xf numFmtId="180" fontId="7" fillId="0" borderId="27" xfId="0" applyFont="1" applyBorder="1" applyAlignment="1">
      <alignment horizontal="centerContinuous"/>
    </xf>
    <xf numFmtId="2" fontId="7" fillId="0" borderId="0" xfId="9" applyNumberFormat="1" applyFont="1" applyAlignment="1">
      <alignment horizontal="right"/>
    </xf>
    <xf numFmtId="2" fontId="7" fillId="0" borderId="0" xfId="9" applyNumberFormat="1" applyFont="1" applyAlignment="1">
      <alignment horizontal="centerContinuous"/>
    </xf>
    <xf numFmtId="3" fontId="7" fillId="7" borderId="0" xfId="9" applyNumberFormat="1" applyFont="1" applyFill="1" applyAlignment="1">
      <alignment horizontal="right"/>
    </xf>
    <xf numFmtId="3" fontId="7" fillId="7" borderId="0" xfId="9" applyNumberFormat="1" applyFont="1" applyFill="1" applyAlignment="1">
      <alignment horizontal="centerContinuous"/>
    </xf>
    <xf numFmtId="0" fontId="7" fillId="9" borderId="0" xfId="9" applyFont="1" applyFill="1" applyAlignment="1">
      <alignment horizontal="centerContinuous"/>
    </xf>
    <xf numFmtId="3" fontId="7" fillId="0" borderId="0" xfId="9" applyNumberFormat="1" applyFont="1" applyFill="1" applyAlignment="1">
      <alignment horizontal="right"/>
    </xf>
    <xf numFmtId="3" fontId="7" fillId="0" borderId="0" xfId="9" applyNumberFormat="1" applyFont="1" applyFill="1" applyAlignment="1">
      <alignment horizontal="centerContinuous"/>
    </xf>
    <xf numFmtId="0" fontId="22" fillId="0" borderId="0" xfId="9" applyFont="1"/>
    <xf numFmtId="0" fontId="22" fillId="0" borderId="0" xfId="9" applyFont="1" applyAlignment="1">
      <alignment horizontal="right"/>
    </xf>
    <xf numFmtId="0" fontId="22" fillId="9" borderId="0" xfId="9" applyNumberFormat="1" applyFont="1" applyFill="1" applyAlignment="1">
      <alignment horizontal="left"/>
    </xf>
    <xf numFmtId="14" fontId="7" fillId="7" borderId="0" xfId="9" applyNumberFormat="1" applyFont="1" applyFill="1" applyAlignment="1"/>
    <xf numFmtId="0" fontId="7" fillId="0" borderId="0" xfId="9" applyFont="1" applyFill="1" applyAlignment="1"/>
    <xf numFmtId="0" fontId="7" fillId="7" borderId="0" xfId="9" applyNumberFormat="1" applyFont="1" applyFill="1" applyAlignment="1" applyProtection="1"/>
    <xf numFmtId="14" fontId="7" fillId="4" borderId="0" xfId="9" applyNumberFormat="1" applyFont="1" applyFill="1" applyAlignment="1">
      <alignment horizontal="center"/>
    </xf>
    <xf numFmtId="14" fontId="7" fillId="7" borderId="0" xfId="9" applyNumberFormat="1" applyFont="1" applyFill="1" applyAlignment="1">
      <alignment horizontal="centerContinuous"/>
    </xf>
    <xf numFmtId="3" fontId="7" fillId="3" borderId="0" xfId="9" applyNumberFormat="1" applyFont="1" applyFill="1" applyAlignment="1">
      <alignment horizontal="centerContinuous"/>
    </xf>
    <xf numFmtId="0" fontId="7" fillId="3" borderId="0" xfId="9" applyFont="1" applyFill="1"/>
    <xf numFmtId="0" fontId="7" fillId="0" borderId="18" xfId="9" quotePrefix="1" applyFont="1" applyBorder="1" applyAlignment="1">
      <alignment horizontal="centerContinuous"/>
    </xf>
    <xf numFmtId="0" fontId="7" fillId="0" borderId="28" xfId="9" applyFont="1" applyBorder="1" applyAlignment="1">
      <alignment horizontal="centerContinuous"/>
    </xf>
    <xf numFmtId="0" fontId="7" fillId="0" borderId="29" xfId="9" quotePrefix="1" applyFont="1" applyBorder="1" applyAlignment="1">
      <alignment horizontal="center"/>
    </xf>
    <xf numFmtId="0" fontId="7" fillId="0" borderId="29" xfId="9" applyFont="1" applyBorder="1" applyAlignment="1">
      <alignment horizontal="center"/>
    </xf>
    <xf numFmtId="0" fontId="7" fillId="0" borderId="21" xfId="9" applyFont="1" applyBorder="1" applyAlignment="1">
      <alignment horizontal="centerContinuous"/>
    </xf>
    <xf numFmtId="0" fontId="7" fillId="0" borderId="23" xfId="9" applyFont="1" applyBorder="1" applyAlignment="1">
      <alignment horizontal="centerContinuous"/>
    </xf>
    <xf numFmtId="0" fontId="7" fillId="0" borderId="30" xfId="9" applyFont="1" applyBorder="1"/>
    <xf numFmtId="0" fontId="7" fillId="0" borderId="30" xfId="9" applyFont="1" applyBorder="1" applyAlignment="1">
      <alignment horizontal="center"/>
    </xf>
    <xf numFmtId="0" fontId="7" fillId="7" borderId="18" xfId="9" applyFont="1" applyFill="1" applyBorder="1"/>
    <xf numFmtId="0" fontId="7" fillId="0" borderId="28" xfId="9" applyFont="1" applyFill="1" applyBorder="1"/>
    <xf numFmtId="0" fontId="7" fillId="7" borderId="31" xfId="9" applyFont="1" applyFill="1" applyBorder="1" applyAlignment="1">
      <alignment horizontal="center"/>
    </xf>
    <xf numFmtId="0" fontId="7" fillId="7" borderId="29" xfId="9" applyFont="1" applyFill="1" applyBorder="1" applyAlignment="1">
      <alignment horizontal="center"/>
    </xf>
    <xf numFmtId="202" fontId="7" fillId="7" borderId="0" xfId="8" applyNumberFormat="1" applyFont="1" applyFill="1" applyBorder="1" applyAlignment="1">
      <alignment horizontal="centerContinuous"/>
    </xf>
    <xf numFmtId="202" fontId="7" fillId="0" borderId="28" xfId="9" applyNumberFormat="1" applyFont="1" applyFill="1" applyBorder="1" applyAlignment="1">
      <alignment horizontal="centerContinuous"/>
    </xf>
    <xf numFmtId="0" fontId="7" fillId="7" borderId="20" xfId="9" applyFont="1" applyFill="1" applyBorder="1"/>
    <xf numFmtId="0" fontId="7" fillId="7" borderId="3" xfId="9" applyFont="1" applyFill="1" applyBorder="1" applyAlignment="1">
      <alignment horizontal="center"/>
    </xf>
    <xf numFmtId="0" fontId="7" fillId="7" borderId="10" xfId="9" applyFont="1" applyFill="1" applyBorder="1" applyAlignment="1">
      <alignment horizontal="center"/>
    </xf>
    <xf numFmtId="202" fontId="7" fillId="0" borderId="0" xfId="9" applyNumberFormat="1" applyFont="1" applyFill="1" applyBorder="1" applyAlignment="1">
      <alignment horizontal="centerContinuous"/>
    </xf>
    <xf numFmtId="0" fontId="7" fillId="7" borderId="21" xfId="9" applyFont="1" applyFill="1" applyBorder="1"/>
    <xf numFmtId="0" fontId="7" fillId="0" borderId="23" xfId="9" applyFont="1" applyFill="1" applyBorder="1"/>
    <xf numFmtId="0" fontId="7" fillId="7" borderId="32" xfId="9" applyFont="1" applyFill="1" applyBorder="1" applyAlignment="1">
      <alignment horizontal="center"/>
    </xf>
    <xf numFmtId="0" fontId="7" fillId="7" borderId="30" xfId="9" applyFont="1" applyFill="1" applyBorder="1" applyAlignment="1">
      <alignment horizontal="center"/>
    </xf>
    <xf numFmtId="202" fontId="7" fillId="0" borderId="23" xfId="9" applyNumberFormat="1" applyFont="1" applyFill="1" applyBorder="1" applyAlignment="1">
      <alignment horizontal="centerContinuous"/>
    </xf>
    <xf numFmtId="0" fontId="7" fillId="0" borderId="24" xfId="9" applyFont="1" applyBorder="1" applyAlignment="1">
      <alignment horizontal="centerContinuous"/>
    </xf>
    <xf numFmtId="0" fontId="7" fillId="0" borderId="25" xfId="9" applyFont="1" applyBorder="1" applyAlignment="1">
      <alignment horizontal="centerContinuous"/>
    </xf>
    <xf numFmtId="0" fontId="7" fillId="0" borderId="24" xfId="9" quotePrefix="1" applyFont="1" applyBorder="1" applyAlignment="1">
      <alignment horizontal="center"/>
    </xf>
    <xf numFmtId="202" fontId="7" fillId="3" borderId="24" xfId="8" applyNumberFormat="1" applyFont="1" applyFill="1" applyBorder="1" applyAlignment="1">
      <alignment horizontal="centerContinuous"/>
    </xf>
    <xf numFmtId="202" fontId="7" fillId="3" borderId="25" xfId="0" applyNumberFormat="1" applyFont="1" applyFill="1" applyBorder="1" applyAlignment="1">
      <alignment horizontal="centerContinuous"/>
    </xf>
    <xf numFmtId="202" fontId="7" fillId="3" borderId="33" xfId="9" applyNumberFormat="1" applyFont="1" applyFill="1" applyBorder="1"/>
    <xf numFmtId="186" fontId="22" fillId="9" borderId="0" xfId="8" applyNumberFormat="1" applyFont="1" applyFill="1" applyBorder="1" applyAlignment="1">
      <alignment horizontal="centerContinuous"/>
    </xf>
    <xf numFmtId="0" fontId="22" fillId="0" borderId="0" xfId="9" applyFont="1" applyAlignment="1">
      <alignment horizontal="left"/>
    </xf>
    <xf numFmtId="180" fontId="7" fillId="5" borderId="0" xfId="0" applyFont="1" applyFill="1"/>
    <xf numFmtId="180" fontId="7" fillId="5" borderId="0" xfId="0" applyFont="1" applyFill="1" applyAlignment="1">
      <alignment horizontal="center" vertical="top"/>
    </xf>
    <xf numFmtId="0" fontId="7" fillId="0" borderId="0" xfId="9" applyFont="1" applyAlignment="1">
      <alignment horizontal="center"/>
    </xf>
    <xf numFmtId="199" fontId="7" fillId="0" borderId="0" xfId="9" applyNumberFormat="1" applyFont="1"/>
    <xf numFmtId="0" fontId="7" fillId="0" borderId="0" xfId="9" applyNumberFormat="1" applyFont="1" applyAlignment="1">
      <alignment horizontal="center"/>
    </xf>
    <xf numFmtId="180" fontId="28" fillId="0" borderId="0" xfId="0" applyFont="1" applyFill="1" applyAlignment="1" applyProtection="1">
      <alignment horizontal="centerContinuous"/>
    </xf>
    <xf numFmtId="180" fontId="7" fillId="3" borderId="0" xfId="0" applyFont="1" applyFill="1" applyAlignment="1">
      <alignment horizontal="center"/>
    </xf>
    <xf numFmtId="180" fontId="7" fillId="0" borderId="0" xfId="0" applyFont="1" applyAlignment="1">
      <alignment horizontal="center"/>
    </xf>
    <xf numFmtId="180" fontId="20" fillId="0" borderId="0" xfId="0" quotePrefix="1" applyFont="1" applyFill="1" applyAlignment="1" applyProtection="1">
      <alignment horizontal="left"/>
    </xf>
    <xf numFmtId="180" fontId="29" fillId="3" borderId="0" xfId="0" applyFont="1" applyFill="1" applyAlignment="1">
      <alignment horizontal="left"/>
    </xf>
    <xf numFmtId="180" fontId="29" fillId="3" borderId="0" xfId="0" applyFont="1" applyFill="1" applyAlignment="1" applyProtection="1">
      <alignment horizontal="left"/>
    </xf>
    <xf numFmtId="180" fontId="29" fillId="0" borderId="0" xfId="0" applyFont="1" applyFill="1" applyAlignment="1" applyProtection="1">
      <alignment horizontal="left"/>
    </xf>
    <xf numFmtId="180" fontId="7" fillId="0" borderId="0" xfId="0" applyFont="1" applyFill="1" applyAlignment="1">
      <alignment horizontal="left"/>
    </xf>
    <xf numFmtId="180" fontId="20" fillId="0" borderId="0" xfId="0" applyFont="1" applyFill="1" applyAlignment="1" applyProtection="1">
      <alignment horizontal="left"/>
    </xf>
    <xf numFmtId="180" fontId="29" fillId="0" borderId="0" xfId="0" applyFont="1" applyFill="1" applyAlignment="1" applyProtection="1"/>
    <xf numFmtId="180" fontId="20" fillId="0" borderId="3" xfId="0" applyFont="1" applyFill="1" applyBorder="1"/>
    <xf numFmtId="173" fontId="7" fillId="0" borderId="0" xfId="0" applyNumberFormat="1" applyFont="1" applyFill="1" applyBorder="1" applyProtection="1"/>
    <xf numFmtId="198" fontId="7" fillId="0" borderId="0" xfId="0" applyNumberFormat="1" applyFont="1" applyFill="1" applyBorder="1" applyProtection="1"/>
    <xf numFmtId="180" fontId="20" fillId="0" borderId="34" xfId="0" applyFont="1" applyFill="1" applyBorder="1"/>
    <xf numFmtId="180" fontId="20" fillId="0" borderId="34" xfId="0" applyFont="1" applyFill="1" applyBorder="1" applyAlignment="1" applyProtection="1">
      <alignment horizontal="right"/>
    </xf>
    <xf numFmtId="180" fontId="7" fillId="0" borderId="0" xfId="0" applyFont="1" applyAlignment="1" applyProtection="1">
      <alignment horizontal="left"/>
    </xf>
    <xf numFmtId="198" fontId="7" fillId="0" borderId="0" xfId="0" applyNumberFormat="1" applyFont="1"/>
    <xf numFmtId="0" fontId="7" fillId="0" borderId="0" xfId="0" applyNumberFormat="1" applyFont="1"/>
    <xf numFmtId="0" fontId="25" fillId="0" borderId="0" xfId="0" applyNumberFormat="1" applyFont="1"/>
    <xf numFmtId="198" fontId="22" fillId="0" borderId="0" xfId="0" applyNumberFormat="1" applyFont="1"/>
    <xf numFmtId="180" fontId="32" fillId="0" borderId="0" xfId="0" applyFont="1" applyFill="1" applyAlignment="1" applyProtection="1"/>
    <xf numFmtId="0" fontId="7" fillId="0" borderId="0" xfId="0" applyNumberFormat="1" applyFont="1" applyFill="1" applyBorder="1" applyAlignment="1" applyProtection="1">
      <alignment horizontal="right"/>
    </xf>
    <xf numFmtId="0" fontId="25" fillId="0" borderId="0" xfId="0" applyNumberFormat="1" applyFont="1" applyBorder="1" applyAlignment="1">
      <alignment horizontal="right"/>
    </xf>
    <xf numFmtId="180" fontId="7" fillId="0" borderId="0" xfId="0" quotePrefix="1" applyFont="1" applyAlignment="1" applyProtection="1">
      <alignment horizontal="left"/>
    </xf>
    <xf numFmtId="0" fontId="7" fillId="0" borderId="0" xfId="0" applyNumberFormat="1" applyFont="1" applyBorder="1" applyAlignment="1" applyProtection="1">
      <alignment horizontal="right"/>
    </xf>
    <xf numFmtId="0" fontId="7" fillId="0" borderId="0" xfId="0" applyNumberFormat="1" applyFont="1" applyBorder="1" applyAlignment="1">
      <alignment horizontal="right"/>
    </xf>
    <xf numFmtId="180" fontId="20" fillId="0" borderId="0" xfId="0" applyFont="1" applyFill="1" applyAlignment="1" applyProtection="1">
      <alignment horizontal="right"/>
    </xf>
    <xf numFmtId="180" fontId="7" fillId="0" borderId="0" xfId="0" applyFont="1" applyAlignment="1" applyProtection="1">
      <alignment horizontal="centerContinuous"/>
    </xf>
    <xf numFmtId="180" fontId="7" fillId="0" borderId="0" xfId="0" applyFont="1" applyFill="1"/>
    <xf numFmtId="180" fontId="22" fillId="10" borderId="0" xfId="0" applyFont="1" applyFill="1" applyAlignment="1">
      <alignment horizontal="right"/>
    </xf>
    <xf numFmtId="180" fontId="33" fillId="3" borderId="0" xfId="0" applyFont="1" applyFill="1" applyAlignment="1">
      <alignment horizontal="left"/>
    </xf>
    <xf numFmtId="180" fontId="34" fillId="11" borderId="0" xfId="0" applyFont="1" applyFill="1" applyAlignment="1">
      <alignment horizontal="left"/>
    </xf>
    <xf numFmtId="180" fontId="22" fillId="0" borderId="24" xfId="0" applyFont="1" applyBorder="1" applyAlignment="1"/>
    <xf numFmtId="180" fontId="7" fillId="0" borderId="25" xfId="0" applyFont="1" applyBorder="1" applyAlignment="1"/>
    <xf numFmtId="180" fontId="7" fillId="0" borderId="26" xfId="0" applyFont="1" applyBorder="1" applyAlignment="1"/>
    <xf numFmtId="180" fontId="22" fillId="0" borderId="35" xfId="0" applyFont="1" applyBorder="1" applyAlignment="1">
      <alignment horizontal="center"/>
    </xf>
    <xf numFmtId="180" fontId="22" fillId="0" borderId="24" xfId="0" applyFont="1" applyBorder="1" applyAlignment="1">
      <alignment horizontal="center"/>
    </xf>
    <xf numFmtId="180" fontId="22" fillId="0" borderId="36" xfId="0" applyFont="1" applyBorder="1" applyAlignment="1">
      <alignment horizontal="center"/>
    </xf>
    <xf numFmtId="180" fontId="7" fillId="0" borderId="37" xfId="0" applyFont="1" applyBorder="1"/>
    <xf numFmtId="180" fontId="7" fillId="0" borderId="18" xfId="0" applyFont="1" applyFill="1" applyBorder="1"/>
    <xf numFmtId="180" fontId="7" fillId="0" borderId="38" xfId="0" applyFont="1" applyFill="1" applyBorder="1"/>
    <xf numFmtId="180" fontId="7" fillId="0" borderId="39" xfId="0" applyFont="1" applyBorder="1"/>
    <xf numFmtId="180" fontId="7" fillId="0" borderId="15" xfId="0" applyFont="1" applyFill="1" applyBorder="1"/>
    <xf numFmtId="180" fontId="7" fillId="0" borderId="40" xfId="0" applyFont="1" applyBorder="1"/>
    <xf numFmtId="180" fontId="7" fillId="0" borderId="21" xfId="0" applyFont="1" applyBorder="1"/>
    <xf numFmtId="180" fontId="7" fillId="0" borderId="41" xfId="0" applyFont="1" applyBorder="1"/>
    <xf numFmtId="180" fontId="7" fillId="2" borderId="37" xfId="0" applyFont="1" applyFill="1" applyBorder="1"/>
    <xf numFmtId="180" fontId="22" fillId="2" borderId="24" xfId="0" applyFont="1" applyFill="1" applyBorder="1" applyAlignment="1">
      <alignment horizontal="centerContinuous"/>
    </xf>
    <xf numFmtId="180" fontId="7" fillId="2" borderId="25" xfId="0" applyFont="1" applyFill="1" applyBorder="1" applyAlignment="1">
      <alignment horizontal="centerContinuous"/>
    </xf>
    <xf numFmtId="180" fontId="7" fillId="2" borderId="26" xfId="0" applyFont="1" applyFill="1" applyBorder="1" applyAlignment="1">
      <alignment horizontal="centerContinuous"/>
    </xf>
    <xf numFmtId="180" fontId="22" fillId="2" borderId="25" xfId="0" applyFont="1" applyFill="1" applyBorder="1" applyAlignment="1">
      <alignment horizontal="centerContinuous"/>
    </xf>
    <xf numFmtId="180" fontId="22" fillId="2" borderId="26" xfId="0" applyFont="1" applyFill="1" applyBorder="1" applyAlignment="1">
      <alignment horizontal="centerContinuous"/>
    </xf>
    <xf numFmtId="180" fontId="22" fillId="2" borderId="18" xfId="0" applyFont="1" applyFill="1" applyBorder="1" applyAlignment="1">
      <alignment horizontal="centerContinuous"/>
    </xf>
    <xf numFmtId="180" fontId="7" fillId="9" borderId="0" xfId="0" applyFont="1" applyFill="1"/>
    <xf numFmtId="180" fontId="7" fillId="2" borderId="0" xfId="0" applyFont="1" applyFill="1"/>
    <xf numFmtId="180" fontId="22" fillId="2" borderId="39" xfId="0" applyFont="1" applyFill="1" applyBorder="1" applyAlignment="1">
      <alignment horizontal="center"/>
    </xf>
    <xf numFmtId="180" fontId="7" fillId="2" borderId="18" xfId="0" applyFont="1" applyFill="1" applyBorder="1"/>
    <xf numFmtId="180" fontId="7" fillId="2" borderId="28" xfId="0" applyFont="1" applyFill="1" applyBorder="1"/>
    <xf numFmtId="180" fontId="7" fillId="2" borderId="19" xfId="0" applyFont="1" applyFill="1" applyBorder="1"/>
    <xf numFmtId="180" fontId="7" fillId="2" borderId="18" xfId="0" applyFont="1" applyFill="1" applyBorder="1" applyAlignment="1">
      <alignment horizontal="center"/>
    </xf>
    <xf numFmtId="180" fontId="7" fillId="2" borderId="28" xfId="0" applyFont="1" applyFill="1" applyBorder="1" applyAlignment="1">
      <alignment horizontal="center"/>
    </xf>
    <xf numFmtId="180" fontId="7" fillId="2" borderId="19" xfId="0" applyFont="1" applyFill="1" applyBorder="1" applyAlignment="1">
      <alignment horizontal="center"/>
    </xf>
    <xf numFmtId="180" fontId="7" fillId="2" borderId="18" xfId="0" applyFont="1" applyFill="1" applyBorder="1" applyAlignment="1"/>
    <xf numFmtId="180" fontId="7" fillId="2" borderId="28" xfId="0" applyFont="1" applyFill="1" applyBorder="1" applyAlignment="1"/>
    <xf numFmtId="180" fontId="7" fillId="2" borderId="19" xfId="0" applyFont="1" applyFill="1" applyBorder="1" applyAlignment="1"/>
    <xf numFmtId="180" fontId="7" fillId="2" borderId="18" xfId="0" applyFont="1" applyFill="1" applyBorder="1" applyAlignment="1">
      <alignment horizontal="centerContinuous"/>
    </xf>
    <xf numFmtId="180" fontId="7" fillId="2" borderId="28" xfId="0" applyFont="1" applyFill="1" applyBorder="1" applyAlignment="1">
      <alignment horizontal="centerContinuous"/>
    </xf>
    <xf numFmtId="180" fontId="7" fillId="2" borderId="19" xfId="0" applyFont="1" applyFill="1" applyBorder="1" applyAlignment="1">
      <alignment horizontal="centerContinuous"/>
    </xf>
    <xf numFmtId="180" fontId="22" fillId="2" borderId="20" xfId="0" applyFont="1" applyFill="1" applyBorder="1" applyAlignment="1">
      <alignment horizontal="center"/>
    </xf>
    <xf numFmtId="180" fontId="7" fillId="2" borderId="7" xfId="0" applyFont="1" applyFill="1" applyBorder="1" applyAlignment="1">
      <alignment horizontal="center"/>
    </xf>
    <xf numFmtId="180" fontId="7" fillId="2" borderId="42" xfId="0" applyFont="1" applyFill="1" applyBorder="1" applyAlignment="1">
      <alignment horizontal="center"/>
    </xf>
    <xf numFmtId="180" fontId="7" fillId="2" borderId="6" xfId="0" applyFont="1" applyFill="1" applyBorder="1" applyAlignment="1">
      <alignment horizontal="center"/>
    </xf>
    <xf numFmtId="180" fontId="7" fillId="12" borderId="7" xfId="0" applyFont="1" applyFill="1" applyBorder="1"/>
    <xf numFmtId="202" fontId="7" fillId="0" borderId="0" xfId="0" applyNumberFormat="1" applyFont="1" applyBorder="1"/>
    <xf numFmtId="202" fontId="7" fillId="0" borderId="16" xfId="0" applyNumberFormat="1" applyFont="1" applyBorder="1"/>
    <xf numFmtId="202" fontId="7" fillId="0" borderId="20" xfId="0" applyNumberFormat="1" applyFont="1" applyBorder="1"/>
    <xf numFmtId="202" fontId="7" fillId="0" borderId="20" xfId="0" applyNumberFormat="1" applyFont="1" applyFill="1" applyBorder="1"/>
    <xf numFmtId="202" fontId="7" fillId="0" borderId="0" xfId="0" applyNumberFormat="1" applyFont="1" applyFill="1" applyBorder="1"/>
    <xf numFmtId="180" fontId="7" fillId="0" borderId="16" xfId="0" applyFont="1" applyFill="1" applyBorder="1"/>
    <xf numFmtId="180" fontId="7" fillId="12" borderId="7" xfId="0" quotePrefix="1" applyFont="1" applyFill="1" applyBorder="1" applyAlignment="1">
      <alignment horizontal="left"/>
    </xf>
    <xf numFmtId="202" fontId="35" fillId="0" borderId="0" xfId="0" applyNumberFormat="1" applyFont="1" applyFill="1"/>
    <xf numFmtId="202" fontId="7" fillId="0" borderId="23" xfId="0" applyNumberFormat="1" applyFont="1" applyBorder="1"/>
    <xf numFmtId="202" fontId="7" fillId="0" borderId="22" xfId="0" applyNumberFormat="1" applyFont="1" applyBorder="1"/>
    <xf numFmtId="202" fontId="7" fillId="0" borderId="21" xfId="0" applyNumberFormat="1" applyFont="1" applyBorder="1"/>
    <xf numFmtId="202" fontId="7" fillId="0" borderId="21" xfId="0" applyNumberFormat="1" applyFont="1" applyFill="1" applyBorder="1"/>
    <xf numFmtId="202" fontId="7" fillId="0" borderId="23" xfId="0" applyNumberFormat="1" applyFont="1" applyFill="1" applyBorder="1"/>
    <xf numFmtId="180" fontId="7" fillId="0" borderId="23" xfId="0" applyFont="1" applyFill="1" applyBorder="1"/>
    <xf numFmtId="180" fontId="7" fillId="0" borderId="22" xfId="0" applyFont="1" applyFill="1" applyBorder="1"/>
    <xf numFmtId="180" fontId="22" fillId="13" borderId="40" xfId="0" applyFont="1" applyFill="1" applyBorder="1" applyAlignment="1">
      <alignment horizontal="center"/>
    </xf>
    <xf numFmtId="181" fontId="7" fillId="13" borderId="24" xfId="0" quotePrefix="1" applyNumberFormat="1" applyFont="1" applyFill="1" applyBorder="1" applyAlignment="1">
      <alignment horizontal="center"/>
    </xf>
    <xf numFmtId="202" fontId="7" fillId="13" borderId="25" xfId="0" applyNumberFormat="1" applyFont="1" applyFill="1" applyBorder="1"/>
    <xf numFmtId="181" fontId="7" fillId="13" borderId="25" xfId="0" quotePrefix="1" applyNumberFormat="1" applyFont="1" applyFill="1" applyBorder="1" applyAlignment="1">
      <alignment horizontal="center"/>
    </xf>
    <xf numFmtId="202" fontId="7" fillId="13" borderId="26" xfId="0" applyNumberFormat="1" applyFont="1" applyFill="1" applyBorder="1"/>
    <xf numFmtId="180" fontId="7" fillId="13" borderId="24" xfId="0" applyFont="1" applyFill="1" applyBorder="1" applyAlignment="1">
      <alignment horizontal="center"/>
    </xf>
    <xf numFmtId="180" fontId="7" fillId="13" borderId="25" xfId="0" quotePrefix="1" applyFont="1" applyFill="1" applyBorder="1" applyAlignment="1">
      <alignment horizontal="center"/>
    </xf>
    <xf numFmtId="180" fontId="7" fillId="13" borderId="25" xfId="0" applyFont="1" applyFill="1" applyBorder="1"/>
    <xf numFmtId="180" fontId="7" fillId="13" borderId="26" xfId="0" applyFont="1" applyFill="1" applyBorder="1"/>
    <xf numFmtId="180" fontId="7" fillId="13" borderId="0" xfId="0" applyFont="1" applyFill="1"/>
    <xf numFmtId="180" fontId="22" fillId="2" borderId="37" xfId="0" applyFont="1" applyFill="1" applyBorder="1" applyAlignment="1">
      <alignment horizontal="center"/>
    </xf>
    <xf numFmtId="180" fontId="22" fillId="2" borderId="28" xfId="0" applyFont="1" applyFill="1" applyBorder="1" applyAlignment="1">
      <alignment horizontal="centerContinuous"/>
    </xf>
    <xf numFmtId="180" fontId="22" fillId="2" borderId="19" xfId="0" applyFont="1" applyFill="1" applyBorder="1" applyAlignment="1">
      <alignment horizontal="centerContinuous"/>
    </xf>
    <xf numFmtId="180" fontId="22" fillId="2" borderId="20" xfId="0" applyFont="1" applyFill="1" applyBorder="1"/>
    <xf numFmtId="180" fontId="22" fillId="2" borderId="7" xfId="0" quotePrefix="1" applyFont="1" applyFill="1" applyBorder="1" applyAlignment="1">
      <alignment horizontal="center"/>
    </xf>
    <xf numFmtId="180" fontId="22" fillId="2" borderId="7" xfId="0" applyFont="1" applyFill="1" applyBorder="1" applyAlignment="1">
      <alignment horizontal="center"/>
    </xf>
    <xf numFmtId="180" fontId="22" fillId="2" borderId="42" xfId="0" applyFont="1" applyFill="1" applyBorder="1" applyAlignment="1">
      <alignment horizontal="center"/>
    </xf>
    <xf numFmtId="180" fontId="22" fillId="2" borderId="6" xfId="0" quotePrefix="1" applyFont="1" applyFill="1" applyBorder="1" applyAlignment="1">
      <alignment horizontal="center"/>
    </xf>
    <xf numFmtId="180" fontId="7" fillId="0" borderId="20" xfId="0" applyFont="1" applyBorder="1"/>
    <xf numFmtId="180" fontId="7" fillId="0" borderId="16" xfId="0" applyFont="1" applyBorder="1"/>
    <xf numFmtId="180" fontId="7" fillId="0" borderId="23" xfId="0" applyFont="1" applyBorder="1"/>
    <xf numFmtId="180" fontId="7" fillId="0" borderId="22" xfId="0" applyFont="1" applyBorder="1"/>
    <xf numFmtId="180" fontId="7" fillId="13" borderId="24" xfId="0" quotePrefix="1" applyFont="1" applyFill="1" applyBorder="1" applyAlignment="1">
      <alignment horizontal="center"/>
    </xf>
    <xf numFmtId="180" fontId="35" fillId="0" borderId="0" xfId="0" applyFont="1"/>
    <xf numFmtId="180" fontId="22" fillId="0" borderId="37" xfId="0" applyFont="1" applyBorder="1" applyAlignment="1">
      <alignment horizontal="center"/>
    </xf>
    <xf numFmtId="180" fontId="22" fillId="0" borderId="24" xfId="0" applyFont="1" applyBorder="1" applyAlignment="1">
      <alignment horizontal="centerContinuous"/>
    </xf>
    <xf numFmtId="180" fontId="35" fillId="0" borderId="25" xfId="0" applyFont="1" applyBorder="1" applyAlignment="1">
      <alignment horizontal="centerContinuous"/>
    </xf>
    <xf numFmtId="180" fontId="22" fillId="0" borderId="26" xfId="0" applyFont="1" applyBorder="1" applyAlignment="1">
      <alignment horizontal="centerContinuous"/>
    </xf>
    <xf numFmtId="180" fontId="22" fillId="0" borderId="25" xfId="0" applyFont="1" applyBorder="1" applyAlignment="1">
      <alignment horizontal="centerContinuous"/>
    </xf>
    <xf numFmtId="180" fontId="22" fillId="0" borderId="39" xfId="0" applyFont="1" applyBorder="1" applyAlignment="1">
      <alignment horizontal="center"/>
    </xf>
    <xf numFmtId="180" fontId="35" fillId="0" borderId="19" xfId="0" applyFont="1" applyBorder="1" applyAlignment="1">
      <alignment horizontal="centerContinuous"/>
    </xf>
    <xf numFmtId="180" fontId="22" fillId="0" borderId="35" xfId="0" applyFont="1" applyBorder="1" applyAlignment="1">
      <alignment horizontal="centerContinuous"/>
    </xf>
    <xf numFmtId="180" fontId="22" fillId="0" borderId="40" xfId="0" applyFont="1" applyBorder="1" applyAlignment="1">
      <alignment horizontal="center"/>
    </xf>
    <xf numFmtId="180" fontId="22" fillId="0" borderId="33" xfId="0" applyFont="1" applyBorder="1" applyAlignment="1">
      <alignment horizontal="center"/>
    </xf>
    <xf numFmtId="202" fontId="7" fillId="0" borderId="39" xfId="0" applyNumberFormat="1" applyFont="1" applyBorder="1"/>
    <xf numFmtId="202" fontId="7" fillId="7" borderId="37" xfId="0" applyNumberFormat="1" applyFont="1" applyFill="1" applyBorder="1"/>
    <xf numFmtId="202" fontId="7" fillId="0" borderId="37" xfId="0" applyNumberFormat="1" applyFont="1" applyBorder="1"/>
    <xf numFmtId="202" fontId="7" fillId="7" borderId="38" xfId="0" applyNumberFormat="1" applyFont="1" applyFill="1" applyBorder="1"/>
    <xf numFmtId="180" fontId="7" fillId="7" borderId="18" xfId="0" applyFont="1" applyFill="1" applyBorder="1"/>
    <xf numFmtId="180" fontId="7" fillId="0" borderId="38" xfId="0" applyFont="1" applyBorder="1"/>
    <xf numFmtId="202" fontId="7" fillId="7" borderId="39" xfId="0" applyNumberFormat="1" applyFont="1" applyFill="1" applyBorder="1"/>
    <xf numFmtId="202" fontId="7" fillId="7" borderId="15" xfId="0" applyNumberFormat="1" applyFont="1" applyFill="1" applyBorder="1"/>
    <xf numFmtId="180" fontId="7" fillId="7" borderId="20" xfId="0" applyFont="1" applyFill="1" applyBorder="1"/>
    <xf numFmtId="180" fontId="7" fillId="0" borderId="15" xfId="0" applyFont="1" applyBorder="1"/>
    <xf numFmtId="202" fontId="7" fillId="0" borderId="40" xfId="0" applyNumberFormat="1" applyFont="1" applyBorder="1"/>
    <xf numFmtId="202" fontId="7" fillId="7" borderId="40" xfId="0" applyNumberFormat="1" applyFont="1" applyFill="1" applyBorder="1"/>
    <xf numFmtId="202" fontId="7" fillId="7" borderId="41" xfId="0" applyNumberFormat="1" applyFont="1" applyFill="1" applyBorder="1"/>
    <xf numFmtId="180" fontId="7" fillId="7" borderId="21" xfId="0" applyFont="1" applyFill="1" applyBorder="1"/>
    <xf numFmtId="180" fontId="35" fillId="0" borderId="21" xfId="0" applyFont="1" applyBorder="1"/>
    <xf numFmtId="202" fontId="7" fillId="0" borderId="35" xfId="0" applyNumberFormat="1" applyFont="1" applyBorder="1"/>
    <xf numFmtId="180" fontId="35" fillId="0" borderId="24" xfId="0" applyFont="1" applyBorder="1"/>
    <xf numFmtId="202" fontId="7" fillId="0" borderId="26" xfId="0" applyNumberFormat="1" applyFont="1" applyBorder="1"/>
    <xf numFmtId="180" fontId="7" fillId="0" borderId="24" xfId="0" quotePrefix="1" applyFont="1" applyBorder="1" applyAlignment="1">
      <alignment horizontal="center"/>
    </xf>
    <xf numFmtId="180" fontId="22" fillId="2" borderId="24" xfId="0" applyFont="1" applyFill="1" applyBorder="1" applyAlignment="1">
      <alignment horizontal="center"/>
    </xf>
    <xf numFmtId="180" fontId="22" fillId="2" borderId="36" xfId="0" applyFont="1" applyFill="1" applyBorder="1" applyAlignment="1">
      <alignment horizontal="center"/>
    </xf>
    <xf numFmtId="180" fontId="22" fillId="0" borderId="0" xfId="0" applyFont="1" applyBorder="1" applyAlignment="1">
      <alignment horizontal="center"/>
    </xf>
    <xf numFmtId="202" fontId="7" fillId="0" borderId="28" xfId="0" applyNumberFormat="1" applyFont="1" applyBorder="1"/>
    <xf numFmtId="202" fontId="7" fillId="0" borderId="38" xfId="0" applyNumberFormat="1" applyFont="1" applyBorder="1"/>
    <xf numFmtId="202" fontId="7" fillId="0" borderId="15" xfId="0" applyNumberFormat="1" applyFont="1" applyBorder="1"/>
    <xf numFmtId="202" fontId="7" fillId="0" borderId="41" xfId="0" applyNumberFormat="1" applyFont="1" applyBorder="1"/>
    <xf numFmtId="202" fontId="7" fillId="13" borderId="24" xfId="0" applyNumberFormat="1" applyFont="1" applyFill="1" applyBorder="1"/>
    <xf numFmtId="202" fontId="7" fillId="13" borderId="36" xfId="0" applyNumberFormat="1" applyFont="1" applyFill="1" applyBorder="1"/>
    <xf numFmtId="180" fontId="22" fillId="2" borderId="37" xfId="0" quotePrefix="1" applyFont="1" applyFill="1" applyBorder="1" applyAlignment="1">
      <alignment horizontal="center"/>
    </xf>
    <xf numFmtId="180" fontId="7" fillId="0" borderId="28" xfId="0" applyFont="1" applyBorder="1"/>
    <xf numFmtId="180" fontId="7" fillId="13" borderId="24" xfId="0" applyFont="1" applyFill="1" applyBorder="1"/>
    <xf numFmtId="180" fontId="7" fillId="13" borderId="36" xfId="0" applyFont="1" applyFill="1" applyBorder="1"/>
    <xf numFmtId="202" fontId="7" fillId="0" borderId="18" xfId="0" applyNumberFormat="1" applyFont="1" applyBorder="1"/>
    <xf numFmtId="180" fontId="7" fillId="0" borderId="18" xfId="0" applyFont="1" applyBorder="1"/>
    <xf numFmtId="180" fontId="7" fillId="2" borderId="11" xfId="0" applyFont="1" applyFill="1" applyBorder="1"/>
    <xf numFmtId="180" fontId="7" fillId="2" borderId="12" xfId="0" applyFont="1" applyFill="1" applyBorder="1"/>
    <xf numFmtId="180" fontId="7" fillId="2" borderId="13" xfId="0" applyFont="1" applyFill="1" applyBorder="1" applyAlignment="1">
      <alignment horizontal="centerContinuous"/>
    </xf>
    <xf numFmtId="180" fontId="7" fillId="2" borderId="14" xfId="0" applyFont="1" applyFill="1" applyBorder="1" applyAlignment="1">
      <alignment horizontal="centerContinuous"/>
    </xf>
    <xf numFmtId="180" fontId="7" fillId="12" borderId="5" xfId="0" applyFont="1" applyFill="1" applyBorder="1"/>
    <xf numFmtId="202" fontId="7" fillId="0" borderId="10" xfId="0" applyNumberFormat="1" applyFont="1" applyBorder="1"/>
    <xf numFmtId="202" fontId="7" fillId="0" borderId="3" xfId="0" applyNumberFormat="1" applyFont="1" applyBorder="1"/>
    <xf numFmtId="202" fontId="7" fillId="0" borderId="0" xfId="0" applyNumberFormat="1" applyFont="1"/>
    <xf numFmtId="202" fontId="7" fillId="0" borderId="12" xfId="0" applyNumberFormat="1" applyFont="1" applyBorder="1"/>
    <xf numFmtId="180" fontId="7" fillId="0" borderId="10" xfId="0" applyFont="1" applyBorder="1"/>
    <xf numFmtId="202" fontId="7" fillId="0" borderId="4" xfId="0" applyNumberFormat="1" applyFont="1" applyBorder="1"/>
    <xf numFmtId="180" fontId="7" fillId="0" borderId="3" xfId="0" applyFont="1" applyBorder="1"/>
    <xf numFmtId="180" fontId="7" fillId="12" borderId="0" xfId="0" applyFont="1" applyFill="1"/>
    <xf numFmtId="180" fontId="7" fillId="12" borderId="43" xfId="0" applyFont="1" applyFill="1" applyBorder="1"/>
    <xf numFmtId="180" fontId="7" fillId="12" borderId="6" xfId="0" applyFont="1" applyFill="1" applyBorder="1"/>
    <xf numFmtId="202" fontId="7" fillId="0" borderId="9" xfId="0" applyNumberFormat="1" applyFont="1" applyBorder="1"/>
    <xf numFmtId="202" fontId="7" fillId="0" borderId="13" xfId="0" applyNumberFormat="1" applyFont="1" applyBorder="1"/>
    <xf numFmtId="202" fontId="7" fillId="0" borderId="27" xfId="0" applyNumberFormat="1" applyFont="1" applyBorder="1"/>
    <xf numFmtId="180" fontId="7" fillId="0" borderId="27" xfId="0" applyFont="1" applyBorder="1"/>
    <xf numFmtId="180" fontId="7" fillId="0" borderId="4" xfId="0" applyFont="1" applyBorder="1"/>
    <xf numFmtId="180" fontId="7" fillId="2" borderId="20" xfId="0" applyFont="1" applyFill="1" applyBorder="1"/>
    <xf numFmtId="180" fontId="7" fillId="2" borderId="24" xfId="0" applyFont="1" applyFill="1" applyBorder="1"/>
    <xf numFmtId="180" fontId="7" fillId="2" borderId="36" xfId="0" applyFont="1" applyFill="1" applyBorder="1"/>
    <xf numFmtId="180" fontId="7" fillId="12" borderId="44" xfId="0" applyFont="1" applyFill="1" applyBorder="1"/>
    <xf numFmtId="180" fontId="7" fillId="0" borderId="35" xfId="0" applyFont="1" applyBorder="1"/>
    <xf numFmtId="180" fontId="7" fillId="12" borderId="45" xfId="0" applyFont="1" applyFill="1" applyBorder="1"/>
    <xf numFmtId="180" fontId="7" fillId="12" borderId="46" xfId="0" applyFont="1" applyFill="1" applyBorder="1"/>
    <xf numFmtId="180" fontId="7" fillId="0" borderId="47" xfId="0" applyFont="1" applyBorder="1"/>
    <xf numFmtId="180" fontId="22" fillId="2" borderId="48" xfId="0" applyFont="1" applyFill="1" applyBorder="1" applyAlignment="1">
      <alignment horizontal="centerContinuous"/>
    </xf>
    <xf numFmtId="180" fontId="22" fillId="2" borderId="49" xfId="0" applyFont="1" applyFill="1" applyBorder="1" applyAlignment="1">
      <alignment horizontal="centerContinuous"/>
    </xf>
    <xf numFmtId="180" fontId="22" fillId="2" borderId="50" xfId="0" applyFont="1" applyFill="1" applyBorder="1" applyAlignment="1">
      <alignment horizontal="centerContinuous"/>
    </xf>
    <xf numFmtId="180" fontId="7" fillId="2" borderId="21" xfId="0" applyFont="1" applyFill="1" applyBorder="1" applyAlignment="1">
      <alignment horizontal="center"/>
    </xf>
    <xf numFmtId="180" fontId="7" fillId="2" borderId="32" xfId="0" applyFont="1" applyFill="1" applyBorder="1" applyAlignment="1">
      <alignment horizontal="centerContinuous"/>
    </xf>
    <xf numFmtId="180" fontId="7" fillId="2" borderId="23" xfId="0" applyFont="1" applyFill="1" applyBorder="1" applyAlignment="1">
      <alignment horizontal="centerContinuous"/>
    </xf>
    <xf numFmtId="180" fontId="7" fillId="2" borderId="32" xfId="0" applyFont="1" applyFill="1" applyBorder="1" applyAlignment="1">
      <alignment horizontal="center"/>
    </xf>
    <xf numFmtId="180" fontId="7" fillId="2" borderId="32" xfId="0" quotePrefix="1" applyFont="1" applyFill="1" applyBorder="1" applyAlignment="1">
      <alignment horizontal="center"/>
    </xf>
    <xf numFmtId="180" fontId="7" fillId="2" borderId="41" xfId="0" applyFont="1" applyFill="1" applyBorder="1" applyAlignment="1">
      <alignment horizontal="center"/>
    </xf>
    <xf numFmtId="180" fontId="7" fillId="0" borderId="48" xfId="0" quotePrefix="1" applyFont="1" applyBorder="1" applyAlignment="1">
      <alignment horizontal="left"/>
    </xf>
    <xf numFmtId="180" fontId="7" fillId="12" borderId="51" xfId="0" applyFont="1" applyFill="1" applyBorder="1"/>
    <xf numFmtId="180" fontId="7" fillId="12" borderId="49" xfId="0" applyFont="1" applyFill="1" applyBorder="1"/>
    <xf numFmtId="180" fontId="7" fillId="0" borderId="51" xfId="0" applyFont="1" applyBorder="1"/>
    <xf numFmtId="9" fontId="7" fillId="0" borderId="51" xfId="13" quotePrefix="1" applyFont="1" applyBorder="1" applyAlignment="1">
      <alignment horizontal="center"/>
    </xf>
    <xf numFmtId="182" fontId="7" fillId="0" borderId="52" xfId="13" applyNumberFormat="1" applyFont="1" applyBorder="1"/>
    <xf numFmtId="180" fontId="7" fillId="0" borderId="53" xfId="0" quotePrefix="1" applyFont="1" applyBorder="1" applyAlignment="1">
      <alignment horizontal="left"/>
    </xf>
    <xf numFmtId="180" fontId="7" fillId="12" borderId="13" xfId="0" applyFont="1" applyFill="1" applyBorder="1"/>
    <xf numFmtId="180" fontId="7" fillId="12" borderId="27" xfId="0" applyFont="1" applyFill="1" applyBorder="1"/>
    <xf numFmtId="180" fontId="7" fillId="0" borderId="13" xfId="0" applyFont="1" applyBorder="1"/>
    <xf numFmtId="9" fontId="7" fillId="0" borderId="13" xfId="13" quotePrefix="1" applyFont="1" applyBorder="1" applyAlignment="1">
      <alignment horizontal="center"/>
    </xf>
    <xf numFmtId="182" fontId="7" fillId="0" borderId="54" xfId="13" applyNumberFormat="1" applyFont="1" applyBorder="1"/>
    <xf numFmtId="180" fontId="7" fillId="0" borderId="20" xfId="0" quotePrefix="1" applyFont="1" applyBorder="1" applyAlignment="1">
      <alignment horizontal="left"/>
    </xf>
    <xf numFmtId="180" fontId="7" fillId="12" borderId="3" xfId="0" applyFont="1" applyFill="1" applyBorder="1"/>
    <xf numFmtId="180" fontId="7" fillId="12" borderId="0" xfId="0" applyFont="1" applyFill="1" applyBorder="1"/>
    <xf numFmtId="9" fontId="7" fillId="0" borderId="3" xfId="13" quotePrefix="1" applyFont="1" applyBorder="1" applyAlignment="1">
      <alignment horizontal="center"/>
    </xf>
    <xf numFmtId="182" fontId="7" fillId="0" borderId="15" xfId="13" applyNumberFormat="1" applyFont="1" applyBorder="1"/>
    <xf numFmtId="180" fontId="7" fillId="0" borderId="13" xfId="0" applyFont="1" applyBorder="1" applyAlignment="1">
      <alignment horizontal="center"/>
    </xf>
    <xf numFmtId="9" fontId="7" fillId="0" borderId="13" xfId="13" applyFont="1" applyBorder="1" applyAlignment="1">
      <alignment horizontal="center"/>
    </xf>
    <xf numFmtId="180" fontId="7" fillId="0" borderId="53" xfId="0" applyFont="1" applyBorder="1"/>
    <xf numFmtId="9" fontId="7" fillId="0" borderId="3" xfId="13" applyFont="1" applyBorder="1" applyAlignment="1">
      <alignment horizontal="center"/>
    </xf>
    <xf numFmtId="180" fontId="7" fillId="0" borderId="13" xfId="0" quotePrefix="1" applyFont="1" applyBorder="1" applyAlignment="1"/>
    <xf numFmtId="180" fontId="7" fillId="12" borderId="3" xfId="0" quotePrefix="1" applyFont="1" applyFill="1" applyBorder="1" applyAlignment="1">
      <alignment horizontal="left"/>
    </xf>
    <xf numFmtId="180" fontId="22" fillId="13" borderId="24" xfId="0" applyFont="1" applyFill="1" applyBorder="1" applyAlignment="1">
      <alignment horizontal="center"/>
    </xf>
    <xf numFmtId="180" fontId="7" fillId="13" borderId="33" xfId="0" quotePrefix="1" applyFont="1" applyFill="1" applyBorder="1" applyAlignment="1">
      <alignment horizontal="left"/>
    </xf>
    <xf numFmtId="180" fontId="7" fillId="13" borderId="25" xfId="0" applyFont="1" applyFill="1" applyBorder="1" applyAlignment="1">
      <alignment horizontal="centerContinuous"/>
    </xf>
    <xf numFmtId="180" fontId="7" fillId="13" borderId="33" xfId="0" applyFont="1" applyFill="1" applyBorder="1"/>
    <xf numFmtId="180" fontId="7" fillId="13" borderId="33" xfId="0" quotePrefix="1" applyFont="1" applyFill="1" applyBorder="1" applyAlignment="1">
      <alignment horizontal="center"/>
    </xf>
    <xf numFmtId="180" fontId="22" fillId="2" borderId="0" xfId="0" applyFont="1" applyFill="1" applyBorder="1"/>
    <xf numFmtId="180" fontId="22" fillId="13" borderId="21" xfId="0" applyFont="1" applyFill="1" applyBorder="1" applyAlignment="1">
      <alignment horizontal="centerContinuous"/>
    </xf>
    <xf numFmtId="180" fontId="22" fillId="13" borderId="22" xfId="0" applyFont="1" applyFill="1" applyBorder="1" applyAlignment="1">
      <alignment horizontal="centerContinuous"/>
    </xf>
    <xf numFmtId="180" fontId="7" fillId="13" borderId="18" xfId="0" applyFont="1" applyFill="1" applyBorder="1"/>
    <xf numFmtId="180" fontId="7" fillId="13" borderId="38" xfId="0" applyFont="1" applyFill="1" applyBorder="1"/>
    <xf numFmtId="180" fontId="22" fillId="13" borderId="24" xfId="0" applyFont="1" applyFill="1" applyBorder="1" applyAlignment="1">
      <alignment horizontal="centerContinuous"/>
    </xf>
    <xf numFmtId="180" fontId="22" fillId="13" borderId="26" xfId="0" applyFont="1" applyFill="1" applyBorder="1" applyAlignment="1">
      <alignment horizontal="centerContinuous"/>
    </xf>
    <xf numFmtId="180" fontId="7" fillId="2" borderId="55" xfId="0" applyFont="1" applyFill="1" applyBorder="1" applyAlignment="1">
      <alignment horizontal="centerContinuous"/>
    </xf>
    <xf numFmtId="180" fontId="7" fillId="2" borderId="52" xfId="0" applyFont="1" applyFill="1" applyBorder="1" applyAlignment="1">
      <alignment horizontal="centerContinuous"/>
    </xf>
    <xf numFmtId="180" fontId="35" fillId="2" borderId="0" xfId="0" applyFont="1" applyFill="1" applyBorder="1"/>
    <xf numFmtId="180" fontId="7" fillId="2" borderId="7" xfId="0" applyFont="1" applyFill="1" applyBorder="1" applyAlignment="1">
      <alignment horizontal="centerContinuous"/>
    </xf>
    <xf numFmtId="180" fontId="7" fillId="2" borderId="42" xfId="0" applyFont="1" applyFill="1" applyBorder="1" applyAlignment="1">
      <alignment horizontal="centerContinuous"/>
    </xf>
    <xf numFmtId="180" fontId="35" fillId="12" borderId="44" xfId="0" applyFont="1" applyFill="1" applyBorder="1" applyAlignment="1">
      <alignment horizontal="centerContinuous"/>
    </xf>
    <xf numFmtId="180" fontId="35" fillId="12" borderId="7" xfId="0" applyFont="1" applyFill="1" applyBorder="1" applyAlignment="1">
      <alignment horizontal="centerContinuous"/>
    </xf>
    <xf numFmtId="180" fontId="7" fillId="0" borderId="7" xfId="0" applyFont="1" applyBorder="1"/>
    <xf numFmtId="180" fontId="7" fillId="0" borderId="42" xfId="0" applyFont="1" applyBorder="1"/>
    <xf numFmtId="180" fontId="7" fillId="12" borderId="44" xfId="0" applyFont="1" applyFill="1" applyBorder="1" applyAlignment="1">
      <alignment horizontal="centerContinuous"/>
    </xf>
    <xf numFmtId="180" fontId="7" fillId="12" borderId="7" xfId="0" applyFont="1" applyFill="1" applyBorder="1" applyAlignment="1">
      <alignment horizontal="centerContinuous"/>
    </xf>
    <xf numFmtId="202" fontId="7" fillId="0" borderId="7" xfId="0" applyNumberFormat="1" applyFont="1" applyBorder="1"/>
    <xf numFmtId="202" fontId="7" fillId="0" borderId="42" xfId="0" applyNumberFormat="1" applyFont="1" applyBorder="1"/>
    <xf numFmtId="180" fontId="7" fillId="12" borderId="45" xfId="0" applyFont="1" applyFill="1" applyBorder="1" applyAlignment="1">
      <alignment horizontal="centerContinuous"/>
    </xf>
    <xf numFmtId="180" fontId="7" fillId="12" borderId="46" xfId="0" applyFont="1" applyFill="1" applyBorder="1" applyAlignment="1">
      <alignment horizontal="centerContinuous"/>
    </xf>
    <xf numFmtId="202" fontId="7" fillId="0" borderId="46" xfId="0" applyNumberFormat="1" applyFont="1" applyBorder="1"/>
    <xf numFmtId="202" fontId="7" fillId="0" borderId="56" xfId="0" applyNumberFormat="1" applyFont="1" applyBorder="1"/>
    <xf numFmtId="0" fontId="20" fillId="7" borderId="3" xfId="0" applyNumberFormat="1" applyFont="1" applyFill="1" applyBorder="1" applyAlignment="1">
      <alignment horizontal="left"/>
    </xf>
    <xf numFmtId="197" fontId="20" fillId="7" borderId="3" xfId="0" applyNumberFormat="1" applyFont="1" applyFill="1" applyBorder="1" applyAlignment="1" applyProtection="1">
      <alignment horizontal="center"/>
    </xf>
    <xf numFmtId="180" fontId="20" fillId="7" borderId="3" xfId="0" applyFont="1" applyFill="1" applyBorder="1" applyAlignment="1">
      <alignment horizontal="right"/>
    </xf>
    <xf numFmtId="180" fontId="20" fillId="7" borderId="3" xfId="0" applyFont="1" applyFill="1" applyBorder="1"/>
    <xf numFmtId="197" fontId="20" fillId="7" borderId="3" xfId="0" quotePrefix="1" applyNumberFormat="1" applyFont="1" applyFill="1" applyBorder="1" applyAlignment="1" applyProtection="1">
      <alignment horizontal="center"/>
    </xf>
    <xf numFmtId="180" fontId="20" fillId="7" borderId="3" xfId="0" quotePrefix="1" applyFont="1" applyFill="1" applyBorder="1" applyAlignment="1">
      <alignment horizontal="right"/>
    </xf>
    <xf numFmtId="198" fontId="22" fillId="7" borderId="3" xfId="0" applyNumberFormat="1" applyFont="1" applyFill="1" applyBorder="1" applyAlignment="1" applyProtection="1"/>
    <xf numFmtId="203" fontId="7" fillId="3" borderId="3" xfId="0" applyNumberFormat="1" applyFont="1" applyFill="1" applyBorder="1" applyAlignment="1" applyProtection="1"/>
    <xf numFmtId="198" fontId="22" fillId="3" borderId="3" xfId="0" applyNumberFormat="1" applyFont="1" applyFill="1" applyBorder="1" applyAlignment="1" applyProtection="1"/>
    <xf numFmtId="203" fontId="20" fillId="3" borderId="11" xfId="0" applyNumberFormat="1" applyFont="1" applyFill="1" applyBorder="1" applyProtection="1"/>
    <xf numFmtId="198" fontId="29" fillId="3" borderId="11" xfId="0" applyNumberFormat="1" applyFont="1" applyFill="1" applyBorder="1" applyProtection="1"/>
    <xf numFmtId="203" fontId="7" fillId="3" borderId="8" xfId="0" applyNumberFormat="1" applyFont="1" applyFill="1" applyBorder="1" applyAlignment="1" applyProtection="1"/>
    <xf numFmtId="198" fontId="20" fillId="3" borderId="30" xfId="0" applyNumberFormat="1" applyFont="1" applyFill="1" applyBorder="1"/>
    <xf numFmtId="203" fontId="7" fillId="3" borderId="32" xfId="0" applyNumberFormat="1" applyFont="1" applyFill="1" applyBorder="1" applyAlignment="1" applyProtection="1">
      <alignment vertical="center"/>
    </xf>
    <xf numFmtId="202" fontId="22" fillId="3" borderId="0" xfId="0" applyNumberFormat="1" applyFont="1" applyFill="1" applyProtection="1"/>
    <xf numFmtId="173" fontId="30" fillId="3" borderId="0" xfId="0" applyNumberFormat="1" applyFont="1" applyFill="1" applyBorder="1" applyProtection="1"/>
    <xf numFmtId="198" fontId="31" fillId="3" borderId="0" xfId="0" applyNumberFormat="1" applyFont="1" applyFill="1" applyBorder="1" applyProtection="1"/>
    <xf numFmtId="203" fontId="7" fillId="3" borderId="0" xfId="0" applyNumberFormat="1" applyFont="1" applyFill="1" applyBorder="1" applyAlignment="1" applyProtection="1"/>
    <xf numFmtId="180" fontId="20" fillId="0" borderId="0" xfId="0" applyFont="1" applyFill="1" applyBorder="1"/>
    <xf numFmtId="180" fontId="22" fillId="0" borderId="21" xfId="0" applyFont="1" applyBorder="1" applyAlignment="1" applyProtection="1">
      <alignment horizontal="left" vertical="center"/>
    </xf>
    <xf numFmtId="180" fontId="20" fillId="0" borderId="23" xfId="0" applyFont="1" applyFill="1" applyBorder="1" applyAlignment="1">
      <alignment vertical="center"/>
    </xf>
    <xf numFmtId="198" fontId="29" fillId="3" borderId="22" xfId="0" applyNumberFormat="1" applyFont="1" applyFill="1" applyBorder="1" applyAlignment="1">
      <alignment horizontal="right" vertical="center"/>
    </xf>
    <xf numFmtId="198" fontId="20" fillId="0" borderId="0" xfId="0" applyNumberFormat="1" applyFont="1" applyFill="1" applyBorder="1"/>
    <xf numFmtId="180" fontId="20" fillId="8" borderId="48" xfId="0" applyFont="1" applyFill="1" applyBorder="1" applyAlignment="1">
      <alignment horizontal="center" vertical="center"/>
    </xf>
    <xf numFmtId="180" fontId="20" fillId="8" borderId="51" xfId="0" applyFont="1" applyFill="1" applyBorder="1" applyAlignment="1" applyProtection="1">
      <alignment horizontal="center" vertical="center"/>
    </xf>
    <xf numFmtId="180" fontId="20" fillId="8" borderId="51" xfId="0" applyFont="1" applyFill="1" applyBorder="1" applyAlignment="1" applyProtection="1">
      <alignment horizontal="center" vertical="center" wrapText="1"/>
    </xf>
    <xf numFmtId="180" fontId="29" fillId="8" borderId="51" xfId="0" applyFont="1" applyFill="1" applyBorder="1" applyAlignment="1" applyProtection="1">
      <alignment horizontal="center" vertical="center" wrapText="1"/>
    </xf>
    <xf numFmtId="180" fontId="20" fillId="8" borderId="52" xfId="0" applyFont="1" applyFill="1" applyBorder="1" applyAlignment="1" applyProtection="1">
      <alignment horizontal="center" vertical="center"/>
    </xf>
    <xf numFmtId="180" fontId="20" fillId="0" borderId="20" xfId="0" applyFont="1" applyFill="1" applyBorder="1" applyProtection="1"/>
    <xf numFmtId="180" fontId="20" fillId="7" borderId="15" xfId="0" applyFont="1" applyFill="1" applyBorder="1"/>
    <xf numFmtId="180" fontId="20" fillId="0" borderId="57" xfId="0" applyFont="1" applyFill="1" applyBorder="1"/>
    <xf numFmtId="180" fontId="20" fillId="0" borderId="58" xfId="0" applyFont="1" applyFill="1" applyBorder="1"/>
    <xf numFmtId="180" fontId="20" fillId="0" borderId="21" xfId="0" applyFont="1" applyFill="1" applyBorder="1"/>
    <xf numFmtId="198" fontId="29" fillId="3" borderId="32" xfId="0" applyNumberFormat="1" applyFont="1" applyFill="1" applyBorder="1"/>
    <xf numFmtId="198" fontId="20" fillId="3" borderId="32" xfId="0" applyNumberFormat="1" applyFont="1" applyFill="1" applyBorder="1" applyProtection="1"/>
    <xf numFmtId="180" fontId="20" fillId="0" borderId="41" xfId="0" applyFont="1" applyFill="1" applyBorder="1"/>
    <xf numFmtId="9" fontId="7" fillId="7" borderId="0" xfId="9" applyNumberFormat="1" applyFont="1" applyFill="1"/>
    <xf numFmtId="0" fontId="7" fillId="0" borderId="32" xfId="9" applyFont="1" applyBorder="1"/>
    <xf numFmtId="0" fontId="7" fillId="0" borderId="31" xfId="9" applyFont="1" applyBorder="1" applyAlignment="1">
      <alignment horizontal="center"/>
    </xf>
    <xf numFmtId="204" fontId="7" fillId="7" borderId="31" xfId="9" applyNumberFormat="1" applyFont="1" applyFill="1" applyBorder="1" applyAlignment="1">
      <alignment horizontal="center"/>
    </xf>
    <xf numFmtId="204" fontId="7" fillId="7" borderId="3" xfId="9" applyNumberFormat="1" applyFont="1" applyFill="1" applyBorder="1" applyAlignment="1">
      <alignment horizontal="center"/>
    </xf>
    <xf numFmtId="0" fontId="20" fillId="0" borderId="59" xfId="12" applyFont="1" applyFill="1" applyBorder="1" applyAlignment="1">
      <alignment horizontal="left" wrapText="1"/>
    </xf>
    <xf numFmtId="202" fontId="7" fillId="4" borderId="3" xfId="8" applyNumberFormat="1" applyFont="1" applyFill="1" applyBorder="1" applyAlignment="1"/>
    <xf numFmtId="202" fontId="7" fillId="4" borderId="32" xfId="8" applyNumberFormat="1" applyFont="1" applyFill="1" applyBorder="1" applyAlignment="1"/>
    <xf numFmtId="0" fontId="7" fillId="7" borderId="19" xfId="9" applyFont="1" applyFill="1" applyBorder="1" applyAlignment="1">
      <alignment horizontal="centerContinuous"/>
    </xf>
    <xf numFmtId="0" fontId="7" fillId="7" borderId="16" xfId="9" applyFont="1" applyFill="1" applyBorder="1" applyAlignment="1">
      <alignment horizontal="centerContinuous"/>
    </xf>
    <xf numFmtId="0" fontId="7" fillId="7" borderId="22" xfId="9" applyFont="1" applyFill="1" applyBorder="1" applyAlignment="1">
      <alignment horizontal="centerContinuous"/>
    </xf>
    <xf numFmtId="0" fontId="36" fillId="0" borderId="1" xfId="11" applyFont="1" applyFill="1" applyBorder="1" applyAlignment="1">
      <alignment horizontal="left" wrapText="1"/>
    </xf>
    <xf numFmtId="0" fontId="36" fillId="0" borderId="0" xfId="11" applyFont="1" applyFill="1" applyBorder="1" applyAlignment="1">
      <alignment horizontal="center"/>
    </xf>
    <xf numFmtId="0" fontId="7" fillId="0" borderId="35" xfId="9" quotePrefix="1" applyFont="1" applyBorder="1" applyAlignment="1">
      <alignment horizontal="center"/>
    </xf>
    <xf numFmtId="0" fontId="7" fillId="0" borderId="31" xfId="9" quotePrefix="1" applyFont="1" applyBorder="1" applyAlignment="1">
      <alignment horizontal="center"/>
    </xf>
    <xf numFmtId="0" fontId="7" fillId="0" borderId="38" xfId="9" applyFont="1" applyBorder="1" applyAlignment="1">
      <alignment horizontal="center"/>
    </xf>
    <xf numFmtId="0" fontId="7" fillId="0" borderId="41" xfId="9" applyFont="1" applyBorder="1" applyAlignment="1">
      <alignment horizontal="center"/>
    </xf>
    <xf numFmtId="0" fontId="7" fillId="0" borderId="1" xfId="9" applyFont="1" applyBorder="1"/>
    <xf numFmtId="202" fontId="7" fillId="4" borderId="31" xfId="8" applyNumberFormat="1" applyFont="1" applyFill="1" applyBorder="1" applyAlignment="1"/>
    <xf numFmtId="0" fontId="7" fillId="0" borderId="40" xfId="9" quotePrefix="1" applyFont="1" applyBorder="1" applyAlignment="1">
      <alignment horizontal="center"/>
    </xf>
    <xf numFmtId="49" fontId="22" fillId="3" borderId="0" xfId="9" applyNumberFormat="1" applyFont="1" applyFill="1" applyBorder="1" applyAlignment="1">
      <alignment horizontal="left"/>
    </xf>
    <xf numFmtId="14" fontId="7" fillId="3" borderId="0" xfId="9" applyNumberFormat="1" applyFont="1" applyFill="1" applyBorder="1" applyAlignment="1">
      <alignment horizontal="left"/>
    </xf>
    <xf numFmtId="0" fontId="7" fillId="0" borderId="0" xfId="9" applyFont="1" applyFill="1" applyBorder="1" applyAlignment="1">
      <alignment horizontal="centerContinuous"/>
    </xf>
    <xf numFmtId="49" fontId="22" fillId="3" borderId="28" xfId="9" applyNumberFormat="1" applyFont="1" applyFill="1" applyBorder="1" applyAlignment="1">
      <alignment horizontal="left"/>
    </xf>
    <xf numFmtId="0" fontId="7" fillId="8" borderId="0" xfId="9" applyFont="1" applyFill="1" applyBorder="1"/>
    <xf numFmtId="180" fontId="7" fillId="8" borderId="16" xfId="0" applyFont="1" applyFill="1" applyBorder="1"/>
    <xf numFmtId="180" fontId="7" fillId="3" borderId="16" xfId="0" applyFont="1" applyFill="1" applyBorder="1" applyAlignment="1">
      <alignment horizontal="centerContinuous"/>
    </xf>
    <xf numFmtId="0" fontId="7" fillId="3" borderId="19" xfId="9" applyFont="1" applyFill="1" applyBorder="1" applyAlignment="1">
      <alignment horizontal="centerContinuous"/>
    </xf>
    <xf numFmtId="180" fontId="37" fillId="0" borderId="28" xfId="0" applyFont="1" applyBorder="1" applyAlignment="1">
      <alignment horizontal="centerContinuous" wrapText="1"/>
    </xf>
    <xf numFmtId="0" fontId="37" fillId="0" borderId="23" xfId="9" applyFont="1" applyBorder="1" applyAlignment="1">
      <alignment horizontal="centerContinuous"/>
    </xf>
    <xf numFmtId="180" fontId="37" fillId="0" borderId="28" xfId="0" quotePrefix="1" applyFont="1" applyBorder="1" applyAlignment="1">
      <alignment horizontal="centerContinuous" wrapText="1"/>
    </xf>
    <xf numFmtId="205" fontId="33" fillId="3" borderId="0" xfId="0" applyNumberFormat="1" applyFont="1" applyFill="1" applyAlignment="1">
      <alignment horizontal="left"/>
    </xf>
    <xf numFmtId="205" fontId="34" fillId="11" borderId="0" xfId="0" applyNumberFormat="1" applyFont="1" applyFill="1" applyAlignment="1">
      <alignment horizontal="left"/>
    </xf>
    <xf numFmtId="9" fontId="7" fillId="4" borderId="0" xfId="9" quotePrefix="1" applyNumberFormat="1" applyFont="1" applyFill="1"/>
    <xf numFmtId="2" fontId="7" fillId="0" borderId="20" xfId="0" applyNumberFormat="1" applyFont="1" applyFill="1" applyBorder="1"/>
    <xf numFmtId="2" fontId="7" fillId="0" borderId="0" xfId="0" applyNumberFormat="1" applyFont="1" applyFill="1" applyBorder="1"/>
    <xf numFmtId="2" fontId="7" fillId="0" borderId="21" xfId="0" applyNumberFormat="1" applyFont="1" applyFill="1" applyBorder="1"/>
    <xf numFmtId="2" fontId="7" fillId="0" borderId="23" xfId="0" applyNumberFormat="1" applyFont="1" applyFill="1" applyBorder="1"/>
    <xf numFmtId="202" fontId="38" fillId="0" borderId="0" xfId="0" applyNumberFormat="1" applyFont="1" applyBorder="1"/>
    <xf numFmtId="4" fontId="9" fillId="3" borderId="43" xfId="0" applyNumberFormat="1" applyFont="1" applyFill="1" applyBorder="1" applyAlignment="1" applyProtection="1">
      <alignment horizontal="centerContinuous"/>
      <protection locked="0"/>
    </xf>
    <xf numFmtId="4" fontId="9" fillId="0" borderId="0" xfId="0" applyNumberFormat="1" applyFont="1" applyProtection="1">
      <protection locked="0"/>
    </xf>
    <xf numFmtId="180" fontId="9" fillId="0" borderId="0" xfId="0" applyFont="1" applyProtection="1">
      <protection locked="0"/>
    </xf>
    <xf numFmtId="180" fontId="9" fillId="0" borderId="0" xfId="0" applyFont="1" applyFill="1" applyProtection="1">
      <protection locked="0"/>
    </xf>
    <xf numFmtId="4" fontId="9" fillId="7" borderId="0" xfId="0" applyNumberFormat="1" applyFont="1" applyFill="1" applyProtection="1">
      <protection locked="0"/>
    </xf>
    <xf numFmtId="180" fontId="9" fillId="6" borderId="60" xfId="0" applyFont="1" applyFill="1" applyBorder="1" applyProtection="1">
      <protection locked="0"/>
    </xf>
    <xf numFmtId="4" fontId="9" fillId="0" borderId="0" xfId="0" applyNumberFormat="1" applyFont="1" applyBorder="1" applyAlignment="1" applyProtection="1">
      <alignment horizontal="centerContinuous"/>
      <protection locked="0"/>
    </xf>
    <xf numFmtId="4" fontId="9" fillId="0" borderId="0" xfId="0" applyNumberFormat="1" applyFont="1" applyAlignment="1" applyProtection="1">
      <alignment horizontal="right"/>
      <protection locked="0"/>
    </xf>
    <xf numFmtId="14" fontId="9" fillId="7" borderId="0" xfId="0" applyNumberFormat="1" applyFont="1" applyFill="1" applyAlignment="1" applyProtection="1">
      <alignment horizontal="left"/>
      <protection locked="0"/>
    </xf>
    <xf numFmtId="180" fontId="9" fillId="6" borderId="61" xfId="0" applyFont="1" applyFill="1" applyBorder="1" applyProtection="1">
      <protection locked="0"/>
    </xf>
    <xf numFmtId="180" fontId="9" fillId="7" borderId="0" xfId="0" applyFont="1" applyFill="1" applyProtection="1">
      <protection locked="0"/>
    </xf>
    <xf numFmtId="4" fontId="9" fillId="0" borderId="0" xfId="0" applyNumberFormat="1" applyFont="1" applyAlignment="1" applyProtection="1">
      <alignment horizontal="left"/>
      <protection locked="0"/>
    </xf>
    <xf numFmtId="180" fontId="12" fillId="0" borderId="0" xfId="0" applyFont="1" applyProtection="1">
      <protection locked="0"/>
    </xf>
    <xf numFmtId="49" fontId="9" fillId="7" borderId="0" xfId="0" applyNumberFormat="1" applyFont="1" applyFill="1" applyAlignment="1" applyProtection="1">
      <alignment horizontal="left"/>
      <protection locked="0"/>
    </xf>
    <xf numFmtId="180" fontId="9" fillId="0" borderId="0" xfId="0" applyFont="1" applyAlignment="1" applyProtection="1">
      <alignment horizontal="left"/>
      <protection locked="0"/>
    </xf>
    <xf numFmtId="180" fontId="10" fillId="0" borderId="0" xfId="0" applyFont="1" applyProtection="1">
      <protection locked="0"/>
    </xf>
    <xf numFmtId="4" fontId="9" fillId="0" borderId="10" xfId="0" applyNumberFormat="1" applyFont="1" applyBorder="1" applyAlignment="1" applyProtection="1">
      <alignment horizontal="right"/>
      <protection locked="0"/>
    </xf>
    <xf numFmtId="4" fontId="9" fillId="0" borderId="20" xfId="0" applyNumberFormat="1" applyFont="1" applyBorder="1" applyAlignment="1" applyProtection="1">
      <alignment horizontal="right"/>
      <protection locked="0"/>
    </xf>
    <xf numFmtId="180" fontId="9" fillId="0" borderId="10" xfId="0" applyFont="1" applyBorder="1" applyAlignment="1" applyProtection="1">
      <alignment horizontal="right"/>
      <protection locked="0"/>
    </xf>
    <xf numFmtId="4" fontId="9" fillId="0" borderId="10" xfId="0" applyNumberFormat="1" applyFont="1" applyBorder="1" applyProtection="1">
      <protection locked="0"/>
    </xf>
    <xf numFmtId="4" fontId="9" fillId="0" borderId="16" xfId="0" applyNumberFormat="1" applyFont="1" applyBorder="1" applyAlignment="1" applyProtection="1">
      <alignment horizontal="right"/>
      <protection locked="0"/>
    </xf>
    <xf numFmtId="180" fontId="9" fillId="0" borderId="20" xfId="0" quotePrefix="1" applyFont="1" applyBorder="1" applyAlignment="1" applyProtection="1">
      <alignment horizontal="left"/>
      <protection locked="0"/>
    </xf>
    <xf numFmtId="4" fontId="9" fillId="4" borderId="0" xfId="0" applyNumberFormat="1" applyFont="1" applyFill="1" applyBorder="1" applyAlignment="1" applyProtection="1">
      <alignment horizontal="right"/>
      <protection locked="0"/>
    </xf>
    <xf numFmtId="180" fontId="9" fillId="4" borderId="10" xfId="0" applyFont="1" applyFill="1" applyBorder="1" applyAlignment="1" applyProtection="1">
      <alignment horizontal="right"/>
      <protection locked="0"/>
    </xf>
    <xf numFmtId="180" fontId="9" fillId="14" borderId="20" xfId="0" applyFont="1" applyFill="1" applyBorder="1" applyProtection="1">
      <protection locked="0"/>
    </xf>
    <xf numFmtId="4" fontId="9" fillId="14" borderId="62" xfId="0" applyNumberFormat="1" applyFont="1" applyFill="1" applyBorder="1" applyAlignment="1" applyProtection="1">
      <alignment horizontal="right"/>
      <protection locked="0"/>
    </xf>
    <xf numFmtId="4" fontId="9" fillId="14" borderId="0" xfId="0" applyNumberFormat="1" applyFont="1" applyFill="1" applyBorder="1" applyAlignment="1" applyProtection="1">
      <alignment horizontal="right"/>
      <protection locked="0"/>
    </xf>
    <xf numFmtId="4" fontId="9" fillId="14" borderId="10" xfId="0" applyNumberFormat="1" applyFont="1" applyFill="1" applyBorder="1" applyAlignment="1" applyProtection="1">
      <alignment horizontal="right"/>
      <protection locked="0"/>
    </xf>
    <xf numFmtId="4" fontId="9" fillId="14" borderId="4" xfId="0" applyNumberFormat="1" applyFont="1" applyFill="1" applyBorder="1" applyAlignment="1" applyProtection="1">
      <alignment horizontal="right"/>
      <protection locked="0"/>
    </xf>
    <xf numFmtId="4" fontId="9" fillId="14" borderId="20" xfId="0" applyNumberFormat="1" applyFont="1" applyFill="1" applyBorder="1" applyAlignment="1" applyProtection="1">
      <alignment horizontal="right"/>
      <protection locked="0"/>
    </xf>
    <xf numFmtId="180" fontId="9" fillId="14" borderId="10" xfId="0" applyFont="1" applyFill="1" applyBorder="1" applyAlignment="1" applyProtection="1">
      <alignment horizontal="right"/>
      <protection locked="0"/>
    </xf>
    <xf numFmtId="4" fontId="9" fillId="14" borderId="10" xfId="0" applyNumberFormat="1" applyFont="1" applyFill="1" applyBorder="1" applyProtection="1">
      <protection locked="0"/>
    </xf>
    <xf numFmtId="4" fontId="9" fillId="14" borderId="16" xfId="0" applyNumberFormat="1" applyFont="1" applyFill="1" applyBorder="1" applyAlignment="1" applyProtection="1">
      <alignment horizontal="right"/>
      <protection locked="0"/>
    </xf>
    <xf numFmtId="180" fontId="9" fillId="0" borderId="20" xfId="0" applyFont="1" applyFill="1" applyBorder="1" applyAlignment="1" applyProtection="1">
      <protection locked="0"/>
    </xf>
    <xf numFmtId="180" fontId="8" fillId="14" borderId="20" xfId="0" applyFont="1" applyFill="1" applyBorder="1" applyProtection="1">
      <protection locked="0"/>
    </xf>
    <xf numFmtId="4" fontId="9" fillId="14" borderId="4" xfId="0" applyNumberFormat="1" applyFont="1" applyFill="1" applyBorder="1" applyProtection="1">
      <protection locked="0"/>
    </xf>
    <xf numFmtId="180" fontId="9" fillId="15" borderId="0" xfId="0" applyFont="1" applyFill="1" applyProtection="1">
      <protection locked="0"/>
    </xf>
    <xf numFmtId="4" fontId="9" fillId="0" borderId="4" xfId="0" quotePrefix="1" applyNumberFormat="1" applyFont="1" applyFill="1" applyBorder="1" applyAlignment="1" applyProtection="1">
      <alignment horizontal="center"/>
      <protection locked="0"/>
    </xf>
    <xf numFmtId="4" fontId="9" fillId="0" borderId="10" xfId="0" quotePrefix="1" applyNumberFormat="1" applyFont="1" applyFill="1" applyBorder="1" applyAlignment="1" applyProtection="1">
      <alignment horizontal="center"/>
      <protection locked="0"/>
    </xf>
    <xf numFmtId="180" fontId="9" fillId="0" borderId="20" xfId="0" quotePrefix="1" applyFont="1" applyFill="1" applyBorder="1" applyAlignment="1" applyProtection="1">
      <protection locked="0"/>
    </xf>
    <xf numFmtId="4" fontId="9" fillId="0" borderId="0" xfId="0" quotePrefix="1" applyNumberFormat="1" applyFont="1" applyFill="1" applyBorder="1" applyAlignment="1" applyProtection="1">
      <alignment horizontal="center"/>
      <protection locked="0"/>
    </xf>
    <xf numFmtId="180" fontId="8" fillId="0" borderId="20" xfId="0" applyFont="1" applyFill="1" applyBorder="1" applyAlignment="1" applyProtection="1">
      <protection locked="0"/>
    </xf>
    <xf numFmtId="4" fontId="9" fillId="0" borderId="62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Protection="1">
      <protection locked="0"/>
    </xf>
    <xf numFmtId="4" fontId="9" fillId="0" borderId="0" xfId="0" applyNumberFormat="1" applyFont="1" applyAlignment="1" applyProtection="1">
      <alignment horizontal="centerContinuous"/>
      <protection locked="0"/>
    </xf>
    <xf numFmtId="180" fontId="9" fillId="0" borderId="37" xfId="0" applyFont="1" applyBorder="1" applyProtection="1">
      <protection locked="0"/>
    </xf>
    <xf numFmtId="4" fontId="9" fillId="0" borderId="28" xfId="0" applyNumberFormat="1" applyFont="1" applyBorder="1" applyProtection="1">
      <protection locked="0"/>
    </xf>
    <xf numFmtId="4" fontId="9" fillId="0" borderId="19" xfId="0" applyNumberFormat="1" applyFont="1" applyBorder="1" applyProtection="1">
      <protection locked="0"/>
    </xf>
    <xf numFmtId="4" fontId="9" fillId="0" borderId="20" xfId="0" applyNumberFormat="1" applyFont="1" applyBorder="1" applyProtection="1">
      <protection locked="0"/>
    </xf>
    <xf numFmtId="180" fontId="9" fillId="0" borderId="0" xfId="0" applyFont="1" applyBorder="1" applyProtection="1">
      <protection locked="0"/>
    </xf>
    <xf numFmtId="4" fontId="9" fillId="0" borderId="16" xfId="0" applyNumberFormat="1" applyFont="1" applyBorder="1" applyProtection="1">
      <protection locked="0"/>
    </xf>
    <xf numFmtId="4" fontId="9" fillId="0" borderId="21" xfId="0" applyNumberFormat="1" applyFont="1" applyBorder="1" applyProtection="1">
      <protection locked="0"/>
    </xf>
    <xf numFmtId="4" fontId="9" fillId="0" borderId="23" xfId="0" applyNumberFormat="1" applyFont="1" applyBorder="1" applyProtection="1">
      <protection locked="0"/>
    </xf>
    <xf numFmtId="4" fontId="9" fillId="0" borderId="22" xfId="0" applyNumberFormat="1" applyFont="1" applyBorder="1" applyProtection="1">
      <protection locked="0"/>
    </xf>
    <xf numFmtId="180" fontId="9" fillId="0" borderId="23" xfId="0" applyFont="1" applyBorder="1" applyProtection="1">
      <protection locked="0"/>
    </xf>
    <xf numFmtId="4" fontId="9" fillId="0" borderId="63" xfId="0" quotePrefix="1" applyNumberFormat="1" applyFont="1" applyFill="1" applyBorder="1" applyAlignment="1" applyProtection="1">
      <alignment horizontal="center"/>
      <protection locked="0"/>
    </xf>
    <xf numFmtId="180" fontId="9" fillId="0" borderId="63" xfId="0" quotePrefix="1" applyFont="1" applyBorder="1" applyAlignment="1" applyProtection="1">
      <alignment horizontal="center"/>
      <protection locked="0"/>
    </xf>
    <xf numFmtId="4" fontId="9" fillId="0" borderId="63" xfId="0" applyNumberFormat="1" applyFont="1" applyBorder="1" applyAlignment="1" applyProtection="1">
      <alignment horizontal="center"/>
      <protection locked="0"/>
    </xf>
    <xf numFmtId="4" fontId="9" fillId="0" borderId="19" xfId="0" quotePrefix="1" applyNumberFormat="1" applyFont="1" applyFill="1" applyBorder="1" applyAlignment="1" applyProtection="1">
      <alignment horizontal="center"/>
      <protection locked="0"/>
    </xf>
    <xf numFmtId="180" fontId="9" fillId="0" borderId="39" xfId="0" applyFont="1" applyBorder="1" applyProtection="1">
      <protection locked="0"/>
    </xf>
    <xf numFmtId="4" fontId="9" fillId="4" borderId="4" xfId="0" applyNumberFormat="1" applyFont="1" applyFill="1" applyBorder="1" applyAlignment="1" applyProtection="1">
      <alignment horizontal="right"/>
      <protection locked="0"/>
    </xf>
    <xf numFmtId="180" fontId="9" fillId="4" borderId="4" xfId="0" applyFont="1" applyFill="1" applyBorder="1" applyAlignment="1" applyProtection="1">
      <alignment horizontal="right"/>
      <protection locked="0"/>
    </xf>
    <xf numFmtId="180" fontId="9" fillId="14" borderId="39" xfId="0" applyFont="1" applyFill="1" applyBorder="1" applyProtection="1">
      <protection locked="0"/>
    </xf>
    <xf numFmtId="4" fontId="9" fillId="14" borderId="16" xfId="0" applyNumberFormat="1" applyFont="1" applyFill="1" applyBorder="1" applyProtection="1">
      <protection locked="0"/>
    </xf>
    <xf numFmtId="4" fontId="9" fillId="14" borderId="62" xfId="0" applyNumberFormat="1" applyFont="1" applyFill="1" applyBorder="1" applyProtection="1">
      <protection locked="0"/>
    </xf>
    <xf numFmtId="180" fontId="9" fillId="14" borderId="4" xfId="0" applyFont="1" applyFill="1" applyBorder="1" applyProtection="1">
      <protection locked="0"/>
    </xf>
    <xf numFmtId="180" fontId="9" fillId="0" borderId="39" xfId="0" quotePrefix="1" applyFont="1" applyBorder="1" applyAlignment="1" applyProtection="1">
      <alignment horizontal="left"/>
      <protection locked="0"/>
    </xf>
    <xf numFmtId="180" fontId="14" fillId="0" borderId="37" xfId="0" applyFont="1" applyFill="1" applyBorder="1" applyProtection="1">
      <protection locked="0"/>
    </xf>
    <xf numFmtId="4" fontId="9" fillId="0" borderId="18" xfId="0" applyNumberFormat="1" applyFont="1" applyFill="1" applyBorder="1" applyProtection="1">
      <protection locked="0"/>
    </xf>
    <xf numFmtId="4" fontId="9" fillId="0" borderId="28" xfId="0" applyNumberFormat="1" applyFont="1" applyFill="1" applyBorder="1" applyProtection="1">
      <protection locked="0"/>
    </xf>
    <xf numFmtId="4" fontId="9" fillId="0" borderId="19" xfId="0" applyNumberFormat="1" applyFont="1" applyFill="1" applyBorder="1" applyProtection="1">
      <protection locked="0"/>
    </xf>
    <xf numFmtId="180" fontId="9" fillId="0" borderId="39" xfId="0" quotePrefix="1" applyFont="1" applyFill="1" applyBorder="1" applyAlignment="1" applyProtection="1">
      <alignment horizontal="left"/>
      <protection locked="0"/>
    </xf>
    <xf numFmtId="4" fontId="9" fillId="0" borderId="0" xfId="0" applyNumberFormat="1" applyFont="1" applyFill="1" applyBorder="1" applyProtection="1">
      <protection locked="0"/>
    </xf>
    <xf numFmtId="4" fontId="9" fillId="4" borderId="0" xfId="0" applyNumberFormat="1" applyFont="1" applyFill="1" applyBorder="1" applyProtection="1">
      <protection locked="0"/>
    </xf>
    <xf numFmtId="180" fontId="9" fillId="0" borderId="39" xfId="0" applyFont="1" applyFill="1" applyBorder="1" applyProtection="1">
      <protection locked="0"/>
    </xf>
    <xf numFmtId="4" fontId="9" fillId="0" borderId="20" xfId="0" applyNumberFormat="1" applyFont="1" applyFill="1" applyBorder="1" applyProtection="1">
      <protection locked="0"/>
    </xf>
    <xf numFmtId="4" fontId="9" fillId="0" borderId="16" xfId="8" applyNumberFormat="1" applyFont="1" applyFill="1" applyBorder="1" applyAlignment="1" applyProtection="1">
      <alignment horizontal="right"/>
      <protection locked="0"/>
    </xf>
    <xf numFmtId="180" fontId="14" fillId="0" borderId="39" xfId="0" applyFont="1" applyFill="1" applyBorder="1" applyProtection="1">
      <protection locked="0"/>
    </xf>
    <xf numFmtId="180" fontId="9" fillId="0" borderId="64" xfId="0" applyFont="1" applyFill="1" applyBorder="1" applyProtection="1">
      <protection locked="0"/>
    </xf>
    <xf numFmtId="4" fontId="9" fillId="0" borderId="43" xfId="0" applyNumberFormat="1" applyFont="1" applyFill="1" applyBorder="1" applyProtection="1">
      <protection locked="0"/>
    </xf>
    <xf numFmtId="4" fontId="9" fillId="0" borderId="43" xfId="0" applyNumberFormat="1" applyFont="1" applyFill="1" applyBorder="1" applyAlignment="1" applyProtection="1">
      <alignment horizontal="right"/>
      <protection locked="0"/>
    </xf>
    <xf numFmtId="4" fontId="9" fillId="4" borderId="43" xfId="0" applyNumberFormat="1" applyFont="1" applyFill="1" applyBorder="1" applyProtection="1">
      <protection locked="0"/>
    </xf>
    <xf numFmtId="4" fontId="9" fillId="0" borderId="0" xfId="8" applyNumberFormat="1" applyFont="1" applyFill="1" applyBorder="1" applyAlignment="1" applyProtection="1">
      <alignment horizontal="right"/>
      <protection locked="0"/>
    </xf>
    <xf numFmtId="180" fontId="9" fillId="0" borderId="39" xfId="0" quotePrefix="1" applyFont="1" applyFill="1" applyBorder="1" applyProtection="1">
      <protection locked="0"/>
    </xf>
    <xf numFmtId="178" fontId="9" fillId="0" borderId="0" xfId="8" applyFont="1" applyProtection="1">
      <protection locked="0"/>
    </xf>
    <xf numFmtId="180" fontId="9" fillId="0" borderId="65" xfId="0" applyFont="1" applyFill="1" applyBorder="1" applyProtection="1">
      <protection locked="0"/>
    </xf>
    <xf numFmtId="4" fontId="9" fillId="0" borderId="63" xfId="0" applyNumberFormat="1" applyFont="1" applyFill="1" applyBorder="1" applyProtection="1">
      <protection locked="0"/>
    </xf>
    <xf numFmtId="180" fontId="9" fillId="0" borderId="62" xfId="0" quotePrefix="1" applyFont="1" applyFill="1" applyBorder="1" applyAlignment="1" applyProtection="1">
      <alignment horizontal="left"/>
      <protection locked="0"/>
    </xf>
    <xf numFmtId="3" fontId="9" fillId="7" borderId="0" xfId="0" applyNumberFormat="1" applyFont="1" applyFill="1" applyBorder="1" applyProtection="1">
      <protection locked="0"/>
    </xf>
    <xf numFmtId="4" fontId="9" fillId="0" borderId="16" xfId="0" applyNumberFormat="1" applyFont="1" applyFill="1" applyBorder="1" applyProtection="1">
      <protection locked="0"/>
    </xf>
    <xf numFmtId="180" fontId="9" fillId="0" borderId="62" xfId="0" applyFont="1" applyFill="1" applyBorder="1" applyAlignment="1" applyProtection="1">
      <alignment horizontal="right"/>
      <protection locked="0"/>
    </xf>
    <xf numFmtId="180" fontId="9" fillId="0" borderId="20" xfId="0" quotePrefix="1" applyFont="1" applyFill="1" applyBorder="1" applyAlignment="1" applyProtection="1">
      <alignment horizontal="right"/>
      <protection locked="0"/>
    </xf>
    <xf numFmtId="4" fontId="9" fillId="0" borderId="0" xfId="0" quotePrefix="1" applyNumberFormat="1" applyFont="1" applyFill="1" applyBorder="1" applyAlignment="1" applyProtection="1">
      <alignment horizontal="left"/>
      <protection locked="0"/>
    </xf>
    <xf numFmtId="4" fontId="9" fillId="0" borderId="0" xfId="0" applyNumberFormat="1" applyFont="1" applyFill="1" applyBorder="1" applyAlignment="1" applyProtection="1">
      <alignment horizontal="left"/>
      <protection locked="0"/>
    </xf>
    <xf numFmtId="180" fontId="9" fillId="0" borderId="62" xfId="0" applyFont="1" applyFill="1" applyBorder="1" applyAlignment="1" applyProtection="1">
      <alignment horizontal="lef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180" fontId="9" fillId="0" borderId="20" xfId="0" applyFont="1" applyFill="1" applyBorder="1" applyAlignment="1" applyProtection="1">
      <alignment horizontal="right"/>
      <protection locked="0"/>
    </xf>
    <xf numFmtId="180" fontId="9" fillId="0" borderId="62" xfId="0" applyFont="1" applyFill="1" applyBorder="1" applyProtection="1">
      <protection locked="0"/>
    </xf>
    <xf numFmtId="180" fontId="9" fillId="0" borderId="66" xfId="0" applyFont="1" applyFill="1" applyBorder="1" applyProtection="1">
      <protection locked="0"/>
    </xf>
    <xf numFmtId="4" fontId="9" fillId="0" borderId="23" xfId="0" applyNumberFormat="1" applyFont="1" applyFill="1" applyBorder="1" applyProtection="1">
      <protection locked="0"/>
    </xf>
    <xf numFmtId="4" fontId="9" fillId="0" borderId="47" xfId="0" applyNumberFormat="1" applyFont="1" applyFill="1" applyBorder="1" applyProtection="1">
      <protection locked="0"/>
    </xf>
    <xf numFmtId="4" fontId="9" fillId="0" borderId="22" xfId="0" applyNumberFormat="1" applyFont="1" applyFill="1" applyBorder="1" applyProtection="1">
      <protection locked="0"/>
    </xf>
    <xf numFmtId="4" fontId="9" fillId="0" borderId="28" xfId="0" applyNumberFormat="1" applyFont="1" applyBorder="1" applyAlignment="1" applyProtection="1">
      <alignment horizontal="centerContinuous"/>
      <protection locked="0"/>
    </xf>
    <xf numFmtId="4" fontId="9" fillId="7" borderId="0" xfId="0" applyNumberFormat="1" applyFont="1" applyFill="1" applyBorder="1" applyAlignment="1" applyProtection="1">
      <alignment horizontal="right"/>
      <protection locked="0"/>
    </xf>
    <xf numFmtId="4" fontId="9" fillId="14" borderId="20" xfId="0" applyNumberFormat="1" applyFont="1" applyFill="1" applyBorder="1" applyAlignment="1" applyProtection="1">
      <alignment horizontal="centerContinuous"/>
      <protection locked="0"/>
    </xf>
    <xf numFmtId="4" fontId="9" fillId="0" borderId="20" xfId="0" applyNumberFormat="1" applyFont="1" applyBorder="1" applyAlignment="1" applyProtection="1">
      <alignment horizontal="centerContinuous"/>
      <protection locked="0"/>
    </xf>
    <xf numFmtId="180" fontId="9" fillId="0" borderId="40" xfId="0" quotePrefix="1" applyFont="1" applyBorder="1" applyAlignment="1" applyProtection="1">
      <alignment horizontal="left"/>
      <protection locked="0"/>
    </xf>
    <xf numFmtId="4" fontId="9" fillId="0" borderId="23" xfId="0" applyNumberFormat="1" applyFont="1" applyBorder="1" applyAlignment="1" applyProtection="1">
      <alignment horizontal="centerContinuous"/>
      <protection locked="0"/>
    </xf>
    <xf numFmtId="4" fontId="9" fillId="4" borderId="30" xfId="0" applyNumberFormat="1" applyFont="1" applyFill="1" applyBorder="1" applyAlignment="1" applyProtection="1">
      <alignment horizontal="right"/>
      <protection locked="0"/>
    </xf>
    <xf numFmtId="4" fontId="9" fillId="4" borderId="47" xfId="0" applyNumberFormat="1" applyFont="1" applyFill="1" applyBorder="1" applyAlignment="1" applyProtection="1">
      <alignment horizontal="right"/>
      <protection locked="0"/>
    </xf>
    <xf numFmtId="4" fontId="9" fillId="7" borderId="0" xfId="0" applyNumberFormat="1" applyFont="1" applyFill="1" applyAlignment="1" applyProtection="1">
      <alignment horizontal="right"/>
      <protection locked="0"/>
    </xf>
    <xf numFmtId="180" fontId="9" fillId="0" borderId="40" xfId="0" applyFont="1" applyBorder="1" applyProtection="1">
      <protection locked="0"/>
    </xf>
    <xf numFmtId="4" fontId="9" fillId="0" borderId="26" xfId="0" applyNumberFormat="1" applyFont="1" applyBorder="1" applyProtection="1">
      <protection locked="0"/>
    </xf>
    <xf numFmtId="4" fontId="9" fillId="4" borderId="31" xfId="0" applyNumberFormat="1" applyFont="1" applyFill="1" applyBorder="1" applyAlignment="1" applyProtection="1">
      <alignment horizontal="right"/>
      <protection locked="0"/>
    </xf>
    <xf numFmtId="4" fontId="9" fillId="4" borderId="3" xfId="0" applyNumberFormat="1" applyFont="1" applyFill="1" applyBorder="1" applyAlignment="1" applyProtection="1">
      <alignment horizontal="right"/>
      <protection locked="0"/>
    </xf>
    <xf numFmtId="4" fontId="9" fillId="4" borderId="32" xfId="0" applyNumberFormat="1" applyFont="1" applyFill="1" applyBorder="1" applyAlignment="1" applyProtection="1">
      <alignment horizontal="right"/>
      <protection locked="0"/>
    </xf>
    <xf numFmtId="180" fontId="9" fillId="0" borderId="24" xfId="0" applyFont="1" applyBorder="1" applyAlignment="1" applyProtection="1">
      <alignment horizontal="centerContinuous"/>
      <protection locked="0"/>
    </xf>
    <xf numFmtId="4" fontId="9" fillId="0" borderId="25" xfId="0" applyNumberFormat="1" applyFont="1" applyBorder="1" applyProtection="1">
      <protection locked="0"/>
    </xf>
    <xf numFmtId="180" fontId="9" fillId="0" borderId="37" xfId="0" quotePrefix="1" applyFont="1" applyBorder="1" applyAlignment="1" applyProtection="1">
      <alignment horizontal="left"/>
      <protection locked="0"/>
    </xf>
    <xf numFmtId="4" fontId="9" fillId="0" borderId="0" xfId="0" quotePrefix="1" applyNumberFormat="1" applyFont="1" applyBorder="1" applyAlignment="1" applyProtection="1">
      <alignment horizontal="centerContinuous"/>
      <protection locked="0"/>
    </xf>
    <xf numFmtId="4" fontId="9" fillId="0" borderId="0" xfId="0" applyNumberFormat="1" applyFont="1" applyFill="1" applyBorder="1" applyAlignment="1" applyProtection="1">
      <alignment horizontal="centerContinuous"/>
      <protection locked="0"/>
    </xf>
    <xf numFmtId="4" fontId="9" fillId="0" borderId="32" xfId="0" quotePrefix="1" applyNumberFormat="1" applyFont="1" applyBorder="1" applyAlignment="1" applyProtection="1">
      <alignment horizontal="centerContinuous"/>
      <protection locked="0"/>
    </xf>
    <xf numFmtId="3" fontId="9" fillId="4" borderId="3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Protection="1">
      <protection locked="0"/>
    </xf>
    <xf numFmtId="4" fontId="9" fillId="0" borderId="3" xfId="0" applyNumberFormat="1" applyFont="1" applyBorder="1" applyAlignment="1" applyProtection="1">
      <alignment horizontal="centerContinuous"/>
      <protection locked="0"/>
    </xf>
    <xf numFmtId="4" fontId="9" fillId="0" borderId="15" xfId="0" applyNumberFormat="1" applyFont="1" applyBorder="1" applyAlignment="1" applyProtection="1">
      <alignment horizontal="center"/>
      <protection locked="0"/>
    </xf>
    <xf numFmtId="4" fontId="9" fillId="0" borderId="32" xfId="0" applyNumberFormat="1" applyFont="1" applyBorder="1" applyAlignment="1" applyProtection="1">
      <alignment horizontal="centerContinuous"/>
      <protection locked="0"/>
    </xf>
    <xf numFmtId="4" fontId="9" fillId="0" borderId="41" xfId="0" quotePrefix="1" applyNumberFormat="1" applyFont="1" applyBorder="1" applyAlignment="1" applyProtection="1">
      <alignment horizontal="center"/>
      <protection locked="0"/>
    </xf>
    <xf numFmtId="4" fontId="9" fillId="4" borderId="3" xfId="0" quotePrefix="1" applyNumberFormat="1" applyFont="1" applyFill="1" applyBorder="1" applyAlignment="1" applyProtection="1">
      <alignment horizontal="right"/>
      <protection locked="0"/>
    </xf>
    <xf numFmtId="4" fontId="9" fillId="7" borderId="28" xfId="0" applyNumberFormat="1" applyFont="1" applyFill="1" applyBorder="1" applyProtection="1">
      <protection locked="0"/>
    </xf>
    <xf numFmtId="4" fontId="9" fillId="7" borderId="0" xfId="0" quotePrefix="1" applyNumberFormat="1" applyFont="1" applyFill="1" applyBorder="1" applyAlignment="1" applyProtection="1">
      <alignment horizontal="left"/>
      <protection locked="0"/>
    </xf>
    <xf numFmtId="180" fontId="9" fillId="0" borderId="37" xfId="0" applyFont="1" applyBorder="1" applyAlignment="1" applyProtection="1">
      <alignment horizontal="left"/>
      <protection locked="0"/>
    </xf>
    <xf numFmtId="4" fontId="9" fillId="3" borderId="19" xfId="0" applyNumberFormat="1" applyFont="1" applyFill="1" applyBorder="1" applyAlignment="1" applyProtection="1">
      <alignment horizontal="right"/>
      <protection locked="0"/>
    </xf>
    <xf numFmtId="180" fontId="9" fillId="0" borderId="39" xfId="0" applyFont="1" applyBorder="1" applyAlignment="1" applyProtection="1">
      <alignment horizontal="left"/>
      <protection locked="0"/>
    </xf>
    <xf numFmtId="180" fontId="9" fillId="0" borderId="40" xfId="0" applyFont="1" applyBorder="1" applyAlignment="1" applyProtection="1">
      <alignment horizontal="left"/>
      <protection locked="0"/>
    </xf>
    <xf numFmtId="4" fontId="9" fillId="3" borderId="22" xfId="0" applyNumberFormat="1" applyFont="1" applyFill="1" applyBorder="1" applyAlignment="1" applyProtection="1">
      <alignment horizontal="right"/>
      <protection locked="0"/>
    </xf>
    <xf numFmtId="4" fontId="9" fillId="7" borderId="18" xfId="0" applyNumberFormat="1" applyFont="1" applyFill="1" applyBorder="1" applyAlignment="1" applyProtection="1">
      <alignment horizontal="right"/>
      <protection locked="0"/>
    </xf>
    <xf numFmtId="4" fontId="9" fillId="7" borderId="23" xfId="0" quotePrefix="1" applyNumberFormat="1" applyFont="1" applyFill="1" applyBorder="1" applyAlignment="1" applyProtection="1">
      <alignment horizontal="left"/>
      <protection locked="0"/>
    </xf>
    <xf numFmtId="180" fontId="9" fillId="0" borderId="40" xfId="0" applyFont="1" applyBorder="1" applyAlignment="1" applyProtection="1">
      <alignment horizontal="center"/>
      <protection locked="0"/>
    </xf>
    <xf numFmtId="4" fontId="9" fillId="7" borderId="3" xfId="13" applyNumberFormat="1" applyFont="1" applyFill="1" applyBorder="1" applyAlignment="1" applyProtection="1">
      <alignment horizontal="right"/>
      <protection locked="0"/>
    </xf>
    <xf numFmtId="4" fontId="9" fillId="3" borderId="3" xfId="0" applyNumberFormat="1" applyFont="1" applyFill="1" applyBorder="1" applyAlignment="1" applyProtection="1">
      <alignment horizontal="right"/>
      <protection locked="0"/>
    </xf>
    <xf numFmtId="180" fontId="9" fillId="0" borderId="39" xfId="0" quotePrefix="1" applyFont="1" applyBorder="1" applyAlignment="1" applyProtection="1">
      <alignment horizontal="right"/>
      <protection locked="0"/>
    </xf>
    <xf numFmtId="180" fontId="9" fillId="0" borderId="39" xfId="0" applyFont="1" applyBorder="1" applyAlignment="1" applyProtection="1">
      <alignment horizontal="right"/>
      <protection locked="0"/>
    </xf>
    <xf numFmtId="180" fontId="9" fillId="0" borderId="0" xfId="0" applyFont="1" applyAlignment="1" applyProtection="1">
      <protection locked="0"/>
    </xf>
    <xf numFmtId="4" fontId="9" fillId="7" borderId="3" xfId="0" applyNumberFormat="1" applyFont="1" applyFill="1" applyBorder="1" applyAlignment="1" applyProtection="1">
      <alignment horizontal="right"/>
      <protection locked="0"/>
    </xf>
    <xf numFmtId="4" fontId="9" fillId="0" borderId="3" xfId="0" applyNumberFormat="1" applyFont="1" applyBorder="1" applyAlignment="1" applyProtection="1">
      <alignment horizontal="center"/>
      <protection locked="0"/>
    </xf>
    <xf numFmtId="3" fontId="9" fillId="7" borderId="0" xfId="0" applyNumberFormat="1" applyFont="1" applyFill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15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Alignment="1" applyProtection="1">
      <alignment horizontal="center"/>
      <protection locked="0"/>
    </xf>
    <xf numFmtId="4" fontId="9" fillId="4" borderId="31" xfId="0" quotePrefix="1" applyNumberFormat="1" applyFont="1" applyFill="1" applyBorder="1" applyAlignment="1" applyProtection="1">
      <alignment horizontal="right"/>
      <protection locked="0"/>
    </xf>
    <xf numFmtId="3" fontId="9" fillId="7" borderId="0" xfId="0" quotePrefix="1" applyNumberFormat="1" applyFont="1" applyFill="1" applyBorder="1" applyAlignment="1" applyProtection="1">
      <alignment horizontal="centerContinuous"/>
      <protection locked="0"/>
    </xf>
    <xf numFmtId="4" fontId="9" fillId="7" borderId="0" xfId="0" quotePrefix="1" applyNumberFormat="1" applyFont="1" applyFill="1" applyBorder="1" applyAlignment="1" applyProtection="1">
      <alignment horizontal="centerContinuous"/>
      <protection locked="0"/>
    </xf>
    <xf numFmtId="4" fontId="9" fillId="0" borderId="16" xfId="0" applyNumberFormat="1" applyFont="1" applyBorder="1" applyAlignment="1" applyProtection="1">
      <alignment horizontal="centerContinuous"/>
      <protection locked="0"/>
    </xf>
    <xf numFmtId="4" fontId="9" fillId="0" borderId="16" xfId="0" applyNumberFormat="1" applyFont="1" applyBorder="1" applyAlignment="1" applyProtection="1">
      <alignment horizontal="center"/>
      <protection locked="0"/>
    </xf>
    <xf numFmtId="4" fontId="9" fillId="0" borderId="22" xfId="0" applyNumberFormat="1" applyFont="1" applyBorder="1" applyAlignment="1" applyProtection="1">
      <alignment horizontal="centerContinuous"/>
      <protection locked="0"/>
    </xf>
    <xf numFmtId="180" fontId="9" fillId="0" borderId="22" xfId="0" applyFont="1" applyBorder="1" applyAlignment="1" applyProtection="1">
      <alignment horizontal="centerContinuous"/>
      <protection locked="0"/>
    </xf>
    <xf numFmtId="3" fontId="9" fillId="7" borderId="0" xfId="0" applyNumberFormat="1" applyFont="1" applyFill="1" applyBorder="1" applyAlignment="1" applyProtection="1">
      <alignment horizontal="centerContinuous"/>
      <protection locked="0"/>
    </xf>
    <xf numFmtId="4" fontId="9" fillId="4" borderId="18" xfId="0" applyNumberFormat="1" applyFont="1" applyFill="1" applyBorder="1" applyAlignment="1" applyProtection="1">
      <alignment horizontal="right"/>
      <protection locked="0"/>
    </xf>
    <xf numFmtId="4" fontId="9" fillId="4" borderId="20" xfId="0" applyNumberFormat="1" applyFont="1" applyFill="1" applyBorder="1" applyAlignment="1" applyProtection="1">
      <alignment horizontal="right"/>
      <protection locked="0"/>
    </xf>
    <xf numFmtId="180" fontId="9" fillId="0" borderId="39" xfId="0" applyFont="1" applyBorder="1" applyAlignment="1" applyProtection="1">
      <alignment horizontal="center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4" borderId="20" xfId="0" quotePrefix="1" applyNumberFormat="1" applyFont="1" applyFill="1" applyBorder="1" applyAlignment="1" applyProtection="1">
      <alignment horizontal="right"/>
      <protection locked="0"/>
    </xf>
    <xf numFmtId="180" fontId="9" fillId="0" borderId="67" xfId="0" applyFont="1" applyBorder="1" applyAlignment="1" applyProtection="1">
      <alignment horizontal="left"/>
      <protection locked="0"/>
    </xf>
    <xf numFmtId="3" fontId="9" fillId="0" borderId="27" xfId="0" applyNumberFormat="1" applyFont="1" applyFill="1" applyBorder="1" applyProtection="1">
      <protection locked="0"/>
    </xf>
    <xf numFmtId="4" fontId="9" fillId="0" borderId="27" xfId="0" applyNumberFormat="1" applyFont="1" applyBorder="1" applyProtection="1">
      <protection locked="0"/>
    </xf>
    <xf numFmtId="4" fontId="9" fillId="0" borderId="53" xfId="0" quotePrefix="1" applyNumberFormat="1" applyFont="1" applyBorder="1" applyAlignment="1" applyProtection="1">
      <alignment horizontal="centerContinuous"/>
      <protection locked="0"/>
    </xf>
    <xf numFmtId="4" fontId="9" fillId="0" borderId="68" xfId="0" applyNumberFormat="1" applyFont="1" applyBorder="1" applyAlignment="1" applyProtection="1">
      <alignment horizontal="centerContinuous"/>
      <protection locked="0"/>
    </xf>
    <xf numFmtId="180" fontId="9" fillId="0" borderId="20" xfId="0" applyFont="1" applyBorder="1" applyAlignment="1" applyProtection="1">
      <alignment horizontal="left"/>
      <protection locked="0"/>
    </xf>
    <xf numFmtId="3" fontId="9" fillId="0" borderId="0" xfId="0" applyNumberFormat="1" applyFont="1" applyBorder="1" applyProtection="1">
      <protection locked="0"/>
    </xf>
    <xf numFmtId="4" fontId="9" fillId="0" borderId="20" xfId="0" quotePrefix="1" applyNumberFormat="1" applyFont="1" applyBorder="1" applyAlignment="1" applyProtection="1">
      <alignment horizontal="centerContinuous"/>
      <protection locked="0"/>
    </xf>
    <xf numFmtId="4" fontId="9" fillId="0" borderId="69" xfId="0" applyNumberFormat="1" applyFont="1" applyBorder="1" applyAlignment="1" applyProtection="1">
      <alignment horizontal="centerContinuous"/>
      <protection locked="0"/>
    </xf>
    <xf numFmtId="3" fontId="9" fillId="7" borderId="20" xfId="0" applyNumberFormat="1" applyFont="1" applyFill="1" applyBorder="1" applyProtection="1">
      <protection locked="0"/>
    </xf>
    <xf numFmtId="180" fontId="9" fillId="0" borderId="53" xfId="0" applyFont="1" applyBorder="1" applyAlignment="1" applyProtection="1">
      <alignment horizontal="left"/>
      <protection locked="0"/>
    </xf>
    <xf numFmtId="3" fontId="9" fillId="7" borderId="53" xfId="0" applyNumberFormat="1" applyFont="1" applyFill="1" applyBorder="1" applyProtection="1">
      <protection locked="0"/>
    </xf>
    <xf numFmtId="4" fontId="9" fillId="4" borderId="53" xfId="0" quotePrefix="1" applyNumberFormat="1" applyFont="1" applyFill="1" applyBorder="1" applyAlignment="1" applyProtection="1">
      <alignment horizontal="right"/>
      <protection locked="0"/>
    </xf>
    <xf numFmtId="4" fontId="9" fillId="0" borderId="39" xfId="0" applyNumberFormat="1" applyFont="1" applyFill="1" applyBorder="1" applyAlignment="1" applyProtection="1">
      <alignment horizontal="right"/>
      <protection locked="0"/>
    </xf>
    <xf numFmtId="4" fontId="9" fillId="4" borderId="53" xfId="0" quotePrefix="1" applyNumberFormat="1" applyFont="1" applyFill="1" applyBorder="1" applyAlignment="1" applyProtection="1">
      <alignment horizontal="centerContinuous"/>
      <protection locked="0"/>
    </xf>
    <xf numFmtId="4" fontId="9" fillId="0" borderId="21" xfId="0" quotePrefix="1" applyNumberFormat="1" applyFont="1" applyBorder="1" applyAlignment="1" applyProtection="1">
      <alignment horizontal="centerContinuous"/>
      <protection locked="0"/>
    </xf>
    <xf numFmtId="3" fontId="9" fillId="0" borderId="27" xfId="0" applyNumberFormat="1" applyFont="1" applyBorder="1" applyAlignment="1" applyProtection="1">
      <alignment horizontal="right"/>
      <protection locked="0"/>
    </xf>
    <xf numFmtId="4" fontId="9" fillId="0" borderId="53" xfId="0" applyNumberFormat="1" applyFont="1" applyFill="1" applyBorder="1" applyAlignment="1" applyProtection="1">
      <alignment horizontal="right"/>
      <protection locked="0"/>
    </xf>
    <xf numFmtId="3" fontId="9" fillId="7" borderId="53" xfId="0" applyNumberFormat="1" applyFont="1" applyFill="1" applyBorder="1" applyAlignment="1" applyProtection="1">
      <alignment horizontal="right"/>
      <protection locked="0"/>
    </xf>
    <xf numFmtId="4" fontId="9" fillId="4" borderId="53" xfId="0" applyNumberFormat="1" applyFont="1" applyFill="1" applyBorder="1" applyAlignment="1" applyProtection="1">
      <alignment horizontal="right"/>
      <protection locked="0"/>
    </xf>
    <xf numFmtId="4" fontId="9" fillId="0" borderId="3" xfId="0" applyNumberFormat="1" applyFont="1" applyBorder="1" applyAlignment="1" applyProtection="1">
      <protection locked="0"/>
    </xf>
    <xf numFmtId="4" fontId="9" fillId="0" borderId="32" xfId="0" applyNumberFormat="1" applyFont="1" applyBorder="1" applyAlignment="1" applyProtection="1">
      <protection locked="0"/>
    </xf>
    <xf numFmtId="4" fontId="9" fillId="0" borderId="31" xfId="0" applyNumberFormat="1" applyFont="1" applyBorder="1" applyProtection="1">
      <protection locked="0"/>
    </xf>
    <xf numFmtId="186" fontId="9" fillId="0" borderId="28" xfId="0" applyNumberFormat="1" applyFont="1" applyBorder="1" applyAlignment="1" applyProtection="1">
      <alignment horizontal="centerContinuous"/>
      <protection locked="0"/>
    </xf>
    <xf numFmtId="4" fontId="9" fillId="0" borderId="3" xfId="0" applyNumberFormat="1" applyFont="1" applyBorder="1" applyProtection="1">
      <protection locked="0"/>
    </xf>
    <xf numFmtId="186" fontId="9" fillId="0" borderId="0" xfId="0" applyNumberFormat="1" applyFont="1" applyBorder="1" applyAlignment="1" applyProtection="1">
      <alignment horizontal="centerContinuous"/>
      <protection locked="0"/>
    </xf>
    <xf numFmtId="4" fontId="9" fillId="7" borderId="20" xfId="0" applyNumberFormat="1" applyFont="1" applyFill="1" applyBorder="1" applyAlignment="1" applyProtection="1">
      <alignment horizontal="centerContinuous"/>
      <protection locked="0"/>
    </xf>
    <xf numFmtId="4" fontId="9" fillId="0" borderId="32" xfId="0" applyNumberFormat="1" applyFont="1" applyBorder="1" applyProtection="1">
      <protection locked="0"/>
    </xf>
    <xf numFmtId="186" fontId="9" fillId="0" borderId="23" xfId="0" applyNumberFormat="1" applyFont="1" applyBorder="1" applyAlignment="1" applyProtection="1">
      <alignment horizontal="centerContinuous"/>
      <protection locked="0"/>
    </xf>
    <xf numFmtId="188" fontId="9" fillId="7" borderId="37" xfId="0" applyNumberFormat="1" applyFont="1" applyFill="1" applyBorder="1" applyProtection="1">
      <protection locked="0"/>
    </xf>
    <xf numFmtId="4" fontId="9" fillId="7" borderId="18" xfId="0" applyNumberFormat="1" applyFont="1" applyFill="1" applyBorder="1" applyAlignment="1" applyProtection="1">
      <alignment horizontal="centerContinuous"/>
      <protection locked="0"/>
    </xf>
    <xf numFmtId="4" fontId="9" fillId="7" borderId="21" xfId="0" applyNumberFormat="1" applyFont="1" applyFill="1" applyBorder="1" applyAlignment="1" applyProtection="1">
      <alignment horizontal="centerContinuous"/>
      <protection locked="0"/>
    </xf>
    <xf numFmtId="9" fontId="9" fillId="4" borderId="32" xfId="13" applyFont="1" applyFill="1" applyBorder="1" applyAlignment="1" applyProtection="1">
      <alignment horizontal="right"/>
      <protection locked="0"/>
    </xf>
    <xf numFmtId="180" fontId="9" fillId="0" borderId="0" xfId="0" applyFont="1" applyAlignment="1" applyProtection="1">
      <alignment horizontal="centerContinuous"/>
      <protection locked="0"/>
    </xf>
    <xf numFmtId="4" fontId="9" fillId="3" borderId="28" xfId="0" applyNumberFormat="1" applyFont="1" applyFill="1" applyBorder="1" applyAlignment="1" applyProtection="1">
      <alignment horizontal="centerContinuous"/>
      <protection locked="0"/>
    </xf>
    <xf numFmtId="4" fontId="9" fillId="3" borderId="19" xfId="0" applyNumberFormat="1" applyFont="1" applyFill="1" applyBorder="1" applyAlignment="1" applyProtection="1">
      <alignment horizontal="centerContinuous"/>
      <protection locked="0"/>
    </xf>
    <xf numFmtId="4" fontId="9" fillId="3" borderId="0" xfId="0" applyNumberFormat="1" applyFont="1" applyFill="1" applyBorder="1" applyAlignment="1" applyProtection="1">
      <alignment horizontal="centerContinuous"/>
      <protection locked="0"/>
    </xf>
    <xf numFmtId="4" fontId="9" fillId="3" borderId="16" xfId="0" applyNumberFormat="1" applyFont="1" applyFill="1" applyBorder="1" applyAlignment="1" applyProtection="1">
      <alignment horizontal="centerContinuous"/>
      <protection locked="0"/>
    </xf>
    <xf numFmtId="180" fontId="9" fillId="0" borderId="67" xfId="0" applyFont="1" applyBorder="1" applyProtection="1">
      <protection locked="0"/>
    </xf>
    <xf numFmtId="4" fontId="9" fillId="0" borderId="5" xfId="0" quotePrefix="1" applyNumberFormat="1" applyFont="1" applyBorder="1" applyAlignment="1" applyProtection="1">
      <alignment horizontal="centerContinuous"/>
      <protection locked="0"/>
    </xf>
    <xf numFmtId="4" fontId="9" fillId="0" borderId="70" xfId="0" applyNumberFormat="1" applyFont="1" applyBorder="1" applyAlignment="1" applyProtection="1">
      <alignment horizontal="centerContinuous"/>
      <protection locked="0"/>
    </xf>
    <xf numFmtId="4" fontId="9" fillId="0" borderId="53" xfId="0" applyNumberFormat="1" applyFont="1" applyFill="1" applyBorder="1" applyAlignment="1" applyProtection="1">
      <alignment horizontal="centerContinuous"/>
      <protection locked="0"/>
    </xf>
    <xf numFmtId="4" fontId="9" fillId="0" borderId="27" xfId="0" applyNumberFormat="1" applyFont="1" applyFill="1" applyBorder="1" applyAlignment="1" applyProtection="1">
      <alignment horizontal="centerContinuous"/>
      <protection locked="0"/>
    </xf>
    <xf numFmtId="4" fontId="9" fillId="0" borderId="13" xfId="0" applyNumberFormat="1" applyFont="1" applyBorder="1" applyAlignment="1" applyProtection="1">
      <alignment horizontal="centerContinuous"/>
      <protection locked="0"/>
    </xf>
    <xf numFmtId="4" fontId="9" fillId="12" borderId="20" xfId="0" applyNumberFormat="1" applyFont="1" applyFill="1" applyBorder="1" applyAlignment="1" applyProtection="1">
      <alignment horizontal="centerContinuous"/>
      <protection locked="0"/>
    </xf>
    <xf numFmtId="18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protection locked="0"/>
    </xf>
    <xf numFmtId="180" fontId="9" fillId="0" borderId="21" xfId="0" applyFont="1" applyBorder="1" applyAlignment="1" applyProtection="1">
      <alignment horizontal="centerContinuous"/>
      <protection locked="0"/>
    </xf>
    <xf numFmtId="180" fontId="9" fillId="0" borderId="21" xfId="0" applyFont="1" applyBorder="1" applyProtection="1">
      <protection locked="0"/>
    </xf>
    <xf numFmtId="180" fontId="9" fillId="0" borderId="20" xfId="0" applyFont="1" applyBorder="1" applyProtection="1">
      <protection locked="0"/>
    </xf>
    <xf numFmtId="4" fontId="9" fillId="3" borderId="20" xfId="0" applyNumberFormat="1" applyFont="1" applyFill="1" applyBorder="1" applyProtection="1">
      <protection locked="0"/>
    </xf>
    <xf numFmtId="4" fontId="9" fillId="3" borderId="3" xfId="0" applyNumberFormat="1" applyFont="1" applyFill="1" applyBorder="1" applyAlignment="1" applyProtection="1">
      <alignment horizontal="centerContinuous"/>
      <protection locked="0"/>
    </xf>
    <xf numFmtId="4" fontId="9" fillId="3" borderId="21" xfId="0" applyNumberFormat="1" applyFont="1" applyFill="1" applyBorder="1" applyProtection="1">
      <protection locked="0"/>
    </xf>
    <xf numFmtId="4" fontId="9" fillId="0" borderId="0" xfId="0" applyNumberFormat="1" applyFont="1" applyAlignment="1" applyProtection="1">
      <alignment horizontal="center"/>
      <protection locked="0"/>
    </xf>
    <xf numFmtId="4" fontId="10" fillId="12" borderId="26" xfId="0" applyNumberFormat="1" applyFont="1" applyFill="1" applyBorder="1" applyAlignment="1" applyProtection="1">
      <alignment horizontal="centerContinuous"/>
      <protection locked="0"/>
    </xf>
    <xf numFmtId="180" fontId="10" fillId="0" borderId="27" xfId="0" applyFont="1" applyBorder="1" applyAlignment="1" applyProtection="1">
      <alignment horizontal="centerContinuous"/>
      <protection locked="0"/>
    </xf>
    <xf numFmtId="4" fontId="9" fillId="3" borderId="13" xfId="0" applyNumberFormat="1" applyFont="1" applyFill="1" applyBorder="1" applyAlignment="1" applyProtection="1">
      <alignment horizontal="centerContinuous"/>
      <protection locked="0"/>
    </xf>
    <xf numFmtId="4" fontId="9" fillId="3" borderId="27" xfId="0" applyNumberFormat="1" applyFont="1" applyFill="1" applyBorder="1" applyAlignment="1" applyProtection="1">
      <alignment horizontal="centerContinuous"/>
      <protection locked="0"/>
    </xf>
    <xf numFmtId="180" fontId="9" fillId="3" borderId="27" xfId="0" applyFont="1" applyFill="1" applyBorder="1" applyAlignment="1" applyProtection="1">
      <alignment horizontal="centerContinuous"/>
      <protection locked="0"/>
    </xf>
    <xf numFmtId="4" fontId="9" fillId="3" borderId="68" xfId="0" applyNumberFormat="1" applyFont="1" applyFill="1" applyBorder="1" applyAlignment="1" applyProtection="1">
      <alignment horizontal="centerContinuous"/>
      <protection locked="0"/>
    </xf>
    <xf numFmtId="180" fontId="9" fillId="3" borderId="0" xfId="0" applyFont="1" applyFill="1" applyBorder="1" applyAlignment="1" applyProtection="1">
      <alignment horizontal="centerContinuous"/>
      <protection locked="0"/>
    </xf>
    <xf numFmtId="180" fontId="9" fillId="0" borderId="53" xfId="0" quotePrefix="1" applyFont="1" applyBorder="1" applyAlignment="1" applyProtection="1">
      <alignment horizontal="left"/>
      <protection locked="0"/>
    </xf>
    <xf numFmtId="180" fontId="9" fillId="0" borderId="26" xfId="0" applyFont="1" applyBorder="1" applyAlignment="1" applyProtection="1">
      <alignment horizontal="centerContinuous"/>
      <protection locked="0"/>
    </xf>
    <xf numFmtId="180" fontId="9" fillId="0" borderId="24" xfId="0" applyFont="1" applyBorder="1" applyAlignment="1" applyProtection="1">
      <alignment horizontal="center"/>
      <protection locked="0"/>
    </xf>
    <xf numFmtId="180" fontId="9" fillId="0" borderId="36" xfId="0" applyFont="1" applyBorder="1" applyAlignment="1" applyProtection="1">
      <alignment horizontal="center"/>
      <protection locked="0"/>
    </xf>
    <xf numFmtId="180" fontId="10" fillId="0" borderId="20" xfId="0" applyFont="1" applyBorder="1" applyProtection="1">
      <protection locked="0"/>
    </xf>
    <xf numFmtId="49" fontId="9" fillId="0" borderId="53" xfId="0" applyNumberFormat="1" applyFont="1" applyBorder="1" applyAlignment="1" applyProtection="1">
      <alignment horizontal="centerContinuous"/>
      <protection locked="0"/>
    </xf>
    <xf numFmtId="180" fontId="9" fillId="0" borderId="68" xfId="0" applyFont="1" applyBorder="1" applyAlignment="1" applyProtection="1">
      <alignment horizontal="centerContinuous"/>
      <protection locked="0"/>
    </xf>
    <xf numFmtId="180" fontId="9" fillId="0" borderId="53" xfId="0" applyFont="1" applyBorder="1" applyProtection="1">
      <protection locked="0"/>
    </xf>
    <xf numFmtId="180" fontId="9" fillId="0" borderId="54" xfId="0" applyFont="1" applyBorder="1" applyProtection="1">
      <protection locked="0"/>
    </xf>
    <xf numFmtId="180" fontId="9" fillId="0" borderId="41" xfId="0" applyFont="1" applyBorder="1" applyProtection="1">
      <protection locked="0"/>
    </xf>
    <xf numFmtId="180" fontId="9" fillId="0" borderId="53" xfId="0" applyFont="1" applyBorder="1" applyAlignment="1" applyProtection="1">
      <alignment horizontal="center"/>
      <protection locked="0"/>
    </xf>
    <xf numFmtId="180" fontId="9" fillId="0" borderId="54" xfId="0" applyFont="1" applyBorder="1" applyAlignment="1" applyProtection="1">
      <alignment horizontal="center"/>
      <protection locked="0"/>
    </xf>
    <xf numFmtId="180" fontId="10" fillId="0" borderId="68" xfId="0" applyFont="1" applyBorder="1" applyAlignment="1" applyProtection="1">
      <alignment horizontal="centerContinuous"/>
      <protection locked="0"/>
    </xf>
    <xf numFmtId="184" fontId="9" fillId="0" borderId="15" xfId="0" applyNumberFormat="1" applyFont="1" applyBorder="1" applyAlignment="1" applyProtection="1">
      <alignment horizontal="center"/>
      <protection locked="0"/>
    </xf>
    <xf numFmtId="180" fontId="9" fillId="0" borderId="15" xfId="0" applyFont="1" applyBorder="1" applyProtection="1">
      <protection locked="0"/>
    </xf>
    <xf numFmtId="184" fontId="9" fillId="0" borderId="41" xfId="0" applyNumberFormat="1" applyFont="1" applyBorder="1" applyAlignment="1" applyProtection="1">
      <alignment horizontal="center"/>
      <protection locked="0"/>
    </xf>
    <xf numFmtId="180" fontId="12" fillId="0" borderId="0" xfId="0" applyFont="1" applyFill="1" applyBorder="1" applyProtection="1">
      <protection locked="0"/>
    </xf>
    <xf numFmtId="4" fontId="9" fillId="3" borderId="5" xfId="0" quotePrefix="1" applyNumberFormat="1" applyFont="1" applyFill="1" applyBorder="1" applyAlignment="1" applyProtection="1">
      <alignment horizontal="centerContinuous"/>
      <protection hidden="1"/>
    </xf>
    <xf numFmtId="4" fontId="9" fillId="3" borderId="43" xfId="0" applyNumberFormat="1" applyFont="1" applyFill="1" applyBorder="1" applyAlignment="1" applyProtection="1">
      <alignment horizontal="centerContinuous"/>
      <protection hidden="1"/>
    </xf>
    <xf numFmtId="180" fontId="8" fillId="3" borderId="5" xfId="0" quotePrefix="1" applyFont="1" applyFill="1" applyBorder="1" applyAlignment="1" applyProtection="1">
      <alignment horizontal="left"/>
      <protection hidden="1"/>
    </xf>
    <xf numFmtId="4" fontId="8" fillId="3" borderId="6" xfId="0" applyNumberFormat="1" applyFont="1" applyFill="1" applyBorder="1" applyAlignment="1" applyProtection="1">
      <alignment horizontal="right"/>
      <protection hidden="1"/>
    </xf>
    <xf numFmtId="4" fontId="11" fillId="3" borderId="0" xfId="0" applyNumberFormat="1" applyFont="1" applyFill="1" applyAlignment="1" applyProtection="1">
      <alignment horizontal="center"/>
      <protection hidden="1"/>
    </xf>
    <xf numFmtId="4" fontId="9" fillId="0" borderId="0" xfId="0" applyNumberFormat="1" applyFont="1" applyProtection="1">
      <protection hidden="1"/>
    </xf>
    <xf numFmtId="180" fontId="9" fillId="0" borderId="0" xfId="0" applyFont="1" applyProtection="1">
      <protection hidden="1"/>
    </xf>
    <xf numFmtId="180" fontId="9" fillId="0" borderId="0" xfId="0" applyFont="1" applyFill="1" applyProtection="1">
      <protection hidden="1"/>
    </xf>
    <xf numFmtId="187" fontId="9" fillId="7" borderId="5" xfId="0" applyNumberFormat="1" applyFont="1" applyFill="1" applyBorder="1" applyAlignment="1" applyProtection="1">
      <alignment horizontal="right"/>
      <protection hidden="1"/>
    </xf>
    <xf numFmtId="4" fontId="9" fillId="3" borderId="6" xfId="0" applyNumberFormat="1" applyFont="1" applyFill="1" applyBorder="1" applyAlignment="1" applyProtection="1">
      <alignment horizontal="centerContinuous"/>
      <protection hidden="1"/>
    </xf>
    <xf numFmtId="180" fontId="8" fillId="3" borderId="0" xfId="0" quotePrefix="1" applyFont="1" applyFill="1" applyAlignment="1" applyProtection="1">
      <alignment horizontal="left"/>
      <protection hidden="1"/>
    </xf>
    <xf numFmtId="4" fontId="8" fillId="3" borderId="0" xfId="0" applyNumberFormat="1" applyFont="1" applyFill="1" applyAlignment="1" applyProtection="1">
      <alignment horizontal="right"/>
      <protection hidden="1"/>
    </xf>
    <xf numFmtId="4" fontId="9" fillId="0" borderId="0" xfId="0" applyNumberFormat="1" applyFont="1" applyProtection="1"/>
    <xf numFmtId="180" fontId="9" fillId="0" borderId="0" xfId="0" applyFont="1" applyProtection="1"/>
    <xf numFmtId="4" fontId="12" fillId="0" borderId="0" xfId="0" applyNumberFormat="1" applyFont="1" applyFill="1" applyBorder="1" applyAlignment="1" applyProtection="1">
      <alignment horizontal="right"/>
    </xf>
    <xf numFmtId="4" fontId="12" fillId="0" borderId="0" xfId="0" applyNumberFormat="1" applyFont="1" applyFill="1" applyBorder="1" applyProtection="1"/>
    <xf numFmtId="0" fontId="12" fillId="0" borderId="0" xfId="9" applyNumberFormat="1" applyFont="1" applyFill="1" applyBorder="1" applyAlignment="1" applyProtection="1">
      <alignment horizontal="center"/>
    </xf>
    <xf numFmtId="180" fontId="12" fillId="0" borderId="0" xfId="0" applyFont="1" applyFill="1" applyBorder="1" applyProtection="1"/>
    <xf numFmtId="4" fontId="12" fillId="0" borderId="0" xfId="0" applyNumberFormat="1" applyFont="1" applyFill="1" applyBorder="1" applyAlignment="1" applyProtection="1">
      <alignment horizontal="right"/>
      <protection locked="0" hidden="1"/>
    </xf>
    <xf numFmtId="4" fontId="12" fillId="0" borderId="0" xfId="0" applyNumberFormat="1" applyFont="1" applyFill="1" applyBorder="1" applyProtection="1">
      <protection locked="0" hidden="1"/>
    </xf>
    <xf numFmtId="4" fontId="9" fillId="3" borderId="0" xfId="0" applyNumberFormat="1" applyFont="1" applyFill="1" applyProtection="1"/>
    <xf numFmtId="4" fontId="9" fillId="0" borderId="0" xfId="0" applyNumberFormat="1" applyFont="1" applyFill="1" applyBorder="1" applyProtection="1">
      <protection locked="0" hidden="1"/>
    </xf>
    <xf numFmtId="4" fontId="9" fillId="3" borderId="6" xfId="0" applyNumberFormat="1" applyFont="1" applyFill="1" applyBorder="1" applyAlignment="1" applyProtection="1">
      <alignment horizontal="centerContinuous"/>
    </xf>
    <xf numFmtId="4" fontId="9" fillId="3" borderId="71" xfId="0" applyNumberFormat="1" applyFont="1" applyFill="1" applyBorder="1" applyAlignment="1" applyProtection="1">
      <alignment horizontal="right"/>
    </xf>
    <xf numFmtId="4" fontId="9" fillId="3" borderId="25" xfId="0" applyNumberFormat="1" applyFont="1" applyFill="1" applyBorder="1" applyAlignment="1" applyProtection="1">
      <alignment horizontal="centerContinuous"/>
    </xf>
    <xf numFmtId="3" fontId="9" fillId="3" borderId="24" xfId="0" quotePrefix="1" applyNumberFormat="1" applyFont="1" applyFill="1" applyBorder="1" applyAlignment="1" applyProtection="1">
      <alignment horizontal="centerContinuous"/>
    </xf>
    <xf numFmtId="3" fontId="9" fillId="3" borderId="24" xfId="0" applyNumberFormat="1" applyFont="1" applyFill="1" applyBorder="1" applyAlignment="1" applyProtection="1">
      <alignment horizontal="right"/>
    </xf>
    <xf numFmtId="3" fontId="9" fillId="3" borderId="24" xfId="0" quotePrefix="1" applyNumberFormat="1" applyFont="1" applyFill="1" applyBorder="1" applyAlignment="1" applyProtection="1">
      <alignment horizontal="right"/>
    </xf>
    <xf numFmtId="3" fontId="9" fillId="3" borderId="35" xfId="0" applyNumberFormat="1" applyFont="1" applyFill="1" applyBorder="1" applyProtection="1"/>
    <xf numFmtId="3" fontId="9" fillId="16" borderId="71" xfId="0" applyNumberFormat="1" applyFont="1" applyFill="1" applyBorder="1" applyProtection="1"/>
    <xf numFmtId="4" fontId="9" fillId="3" borderId="24" xfId="0" applyNumberFormat="1" applyFont="1" applyFill="1" applyBorder="1" applyAlignment="1" applyProtection="1">
      <alignment horizontal="right"/>
    </xf>
    <xf numFmtId="4" fontId="9" fillId="3" borderId="20" xfId="0" applyNumberFormat="1" applyFont="1" applyFill="1" applyBorder="1" applyAlignment="1" applyProtection="1">
      <alignment horizontal="centerContinuous"/>
    </xf>
    <xf numFmtId="4" fontId="9" fillId="3" borderId="21" xfId="0" applyNumberFormat="1" applyFont="1" applyFill="1" applyBorder="1" applyAlignment="1" applyProtection="1">
      <alignment horizontal="centerContinuous"/>
    </xf>
    <xf numFmtId="4" fontId="9" fillId="3" borderId="18" xfId="0" applyNumberFormat="1" applyFont="1" applyFill="1" applyBorder="1" applyAlignment="1" applyProtection="1">
      <alignment horizontal="centerContinuous"/>
    </xf>
    <xf numFmtId="4" fontId="9" fillId="3" borderId="24" xfId="0" applyNumberFormat="1" applyFont="1" applyFill="1" applyBorder="1" applyAlignment="1" applyProtection="1">
      <alignment horizontal="centerContinuous"/>
    </xf>
    <xf numFmtId="4" fontId="9" fillId="0" borderId="24" xfId="0" applyNumberFormat="1" applyFont="1" applyBorder="1" applyAlignment="1" applyProtection="1">
      <alignment horizontal="centerContinuous"/>
    </xf>
    <xf numFmtId="4" fontId="9" fillId="16" borderId="24" xfId="0" applyNumberFormat="1" applyFont="1" applyFill="1" applyBorder="1" applyAlignment="1" applyProtection="1">
      <alignment horizontal="centerContinuous"/>
    </xf>
    <xf numFmtId="4" fontId="9" fillId="3" borderId="72" xfId="0" applyNumberFormat="1" applyFont="1" applyFill="1" applyBorder="1" applyAlignment="1" applyProtection="1">
      <alignment horizontal="centerContinuous"/>
    </xf>
    <xf numFmtId="4" fontId="9" fillId="10" borderId="18" xfId="0" applyNumberFormat="1" applyFont="1" applyFill="1" applyBorder="1" applyAlignment="1" applyProtection="1">
      <alignment horizontal="centerContinuous"/>
    </xf>
    <xf numFmtId="4" fontId="10" fillId="3" borderId="20" xfId="0" applyNumberFormat="1" applyFont="1" applyFill="1" applyBorder="1" applyAlignment="1" applyProtection="1">
      <alignment horizontal="centerContinuous"/>
    </xf>
    <xf numFmtId="4" fontId="10" fillId="3" borderId="73" xfId="0" applyNumberFormat="1" applyFont="1" applyFill="1" applyBorder="1" applyAlignment="1" applyProtection="1">
      <alignment horizontal="centerContinuous"/>
    </xf>
    <xf numFmtId="4" fontId="10" fillId="3" borderId="25" xfId="0" applyNumberFormat="1" applyFont="1" applyFill="1" applyBorder="1" applyAlignment="1" applyProtection="1">
      <alignment horizontal="centerContinuous"/>
    </xf>
    <xf numFmtId="4" fontId="9" fillId="3" borderId="0" xfId="0" applyNumberFormat="1" applyFont="1" applyFill="1" applyBorder="1" applyAlignment="1" applyProtection="1">
      <alignment horizontal="right"/>
    </xf>
    <xf numFmtId="4" fontId="9" fillId="3" borderId="15" xfId="0" applyNumberFormat="1" applyFont="1" applyFill="1" applyBorder="1" applyAlignment="1" applyProtection="1">
      <alignment horizontal="right"/>
    </xf>
    <xf numFmtId="4" fontId="9" fillId="3" borderId="16" xfId="0" applyNumberFormat="1" applyFont="1" applyFill="1" applyBorder="1" applyAlignment="1" applyProtection="1">
      <alignment horizontal="right"/>
    </xf>
    <xf numFmtId="4" fontId="9" fillId="3" borderId="36" xfId="0" applyNumberFormat="1" applyFont="1" applyFill="1" applyBorder="1" applyAlignment="1" applyProtection="1">
      <alignment horizontal="right"/>
    </xf>
    <xf numFmtId="4" fontId="9" fillId="3" borderId="26" xfId="0" applyNumberFormat="1" applyFont="1" applyFill="1" applyBorder="1" applyAlignment="1" applyProtection="1">
      <alignment horizontal="right"/>
    </xf>
    <xf numFmtId="4" fontId="9" fillId="3" borderId="16" xfId="8" applyNumberFormat="1" applyFont="1" applyFill="1" applyBorder="1" applyAlignment="1" applyProtection="1">
      <alignment horizontal="right"/>
    </xf>
    <xf numFmtId="4" fontId="9" fillId="3" borderId="70" xfId="8" applyNumberFormat="1" applyFont="1" applyFill="1" applyBorder="1" applyAlignment="1" applyProtection="1">
      <alignment horizontal="right"/>
    </xf>
    <xf numFmtId="4" fontId="9" fillId="3" borderId="74" xfId="8" applyNumberFormat="1" applyFont="1" applyFill="1" applyBorder="1" applyAlignment="1" applyProtection="1">
      <alignment horizontal="right"/>
    </xf>
    <xf numFmtId="4" fontId="9" fillId="0" borderId="4" xfId="0" applyNumberFormat="1" applyFont="1" applyFill="1" applyBorder="1" applyProtection="1"/>
    <xf numFmtId="4" fontId="9" fillId="3" borderId="16" xfId="6" applyNumberFormat="1" applyFont="1" applyFill="1" applyBorder="1" applyAlignment="1" applyProtection="1">
      <alignment horizontal="right"/>
    </xf>
    <xf numFmtId="4" fontId="9" fillId="3" borderId="38" xfId="0" applyNumberFormat="1" applyFont="1" applyFill="1" applyBorder="1" applyAlignment="1" applyProtection="1">
      <alignment horizontal="right"/>
    </xf>
    <xf numFmtId="4" fontId="9" fillId="3" borderId="41" xfId="0" applyNumberFormat="1" applyFont="1" applyFill="1" applyBorder="1" applyAlignment="1" applyProtection="1">
      <alignment horizontal="right"/>
    </xf>
    <xf numFmtId="4" fontId="9" fillId="3" borderId="36" xfId="0" applyNumberFormat="1" applyFont="1" applyFill="1" applyBorder="1" applyProtection="1"/>
    <xf numFmtId="4" fontId="9" fillId="0" borderId="24" xfId="0" quotePrefix="1" applyNumberFormat="1" applyFont="1" applyBorder="1" applyAlignment="1" applyProtection="1">
      <alignment horizontal="centerContinuous"/>
    </xf>
    <xf numFmtId="4" fontId="9" fillId="16" borderId="38" xfId="0" applyNumberFormat="1" applyFont="1" applyFill="1" applyBorder="1" applyAlignment="1" applyProtection="1">
      <alignment horizontal="right"/>
    </xf>
    <xf numFmtId="4" fontId="9" fillId="16" borderId="15" xfId="0" applyNumberFormat="1" applyFont="1" applyFill="1" applyBorder="1" applyAlignment="1" applyProtection="1">
      <alignment horizontal="right"/>
    </xf>
    <xf numFmtId="4" fontId="9" fillId="16" borderId="35" xfId="0" applyNumberFormat="1" applyFont="1" applyFill="1" applyBorder="1" applyAlignment="1" applyProtection="1">
      <alignment horizontal="right"/>
    </xf>
    <xf numFmtId="4" fontId="9" fillId="3" borderId="19" xfId="0" applyNumberFormat="1" applyFont="1" applyFill="1" applyBorder="1" applyAlignment="1" applyProtection="1">
      <alignment horizontal="right"/>
    </xf>
    <xf numFmtId="4" fontId="9" fillId="3" borderId="22" xfId="0" applyNumberFormat="1" applyFont="1" applyFill="1" applyBorder="1" applyAlignment="1" applyProtection="1">
      <alignment horizontal="right"/>
    </xf>
    <xf numFmtId="4" fontId="9" fillId="3" borderId="3" xfId="0" applyNumberFormat="1" applyFont="1" applyFill="1" applyBorder="1" applyAlignment="1" applyProtection="1">
      <alignment horizontal="right"/>
    </xf>
    <xf numFmtId="4" fontId="9" fillId="3" borderId="25" xfId="0" applyNumberFormat="1" applyFont="1" applyFill="1" applyBorder="1" applyAlignment="1" applyProtection="1">
      <alignment horizontal="right"/>
    </xf>
    <xf numFmtId="4" fontId="9" fillId="3" borderId="35" xfId="0" applyNumberFormat="1" applyFont="1" applyFill="1" applyBorder="1" applyAlignment="1" applyProtection="1">
      <alignment horizontal="right"/>
    </xf>
    <xf numFmtId="4" fontId="9" fillId="0" borderId="16" xfId="0" applyNumberFormat="1" applyFont="1" applyBorder="1" applyAlignment="1" applyProtection="1">
      <alignment horizontal="centerContinuous"/>
    </xf>
    <xf numFmtId="4" fontId="9" fillId="3" borderId="39" xfId="0" applyNumberFormat="1" applyFont="1" applyFill="1" applyBorder="1" applyAlignment="1" applyProtection="1">
      <alignment horizontal="right"/>
    </xf>
    <xf numFmtId="4" fontId="9" fillId="3" borderId="64" xfId="0" applyNumberFormat="1" applyFont="1" applyFill="1" applyBorder="1" applyAlignment="1" applyProtection="1">
      <alignment horizontal="right"/>
    </xf>
    <xf numFmtId="4" fontId="9" fillId="3" borderId="67" xfId="0" applyNumberFormat="1" applyFont="1" applyFill="1" applyBorder="1" applyAlignment="1" applyProtection="1">
      <alignment horizontal="right"/>
    </xf>
    <xf numFmtId="4" fontId="9" fillId="0" borderId="39" xfId="0" applyNumberFormat="1" applyFont="1" applyBorder="1" applyAlignment="1" applyProtection="1">
      <alignment horizontal="centerContinuous"/>
    </xf>
    <xf numFmtId="4" fontId="9" fillId="0" borderId="16" xfId="0" applyNumberFormat="1" applyFont="1" applyFill="1" applyBorder="1" applyAlignment="1" applyProtection="1">
      <alignment horizontal="right"/>
    </xf>
    <xf numFmtId="4" fontId="9" fillId="0" borderId="68" xfId="0" applyNumberFormat="1" applyFont="1" applyFill="1" applyBorder="1" applyAlignment="1" applyProtection="1">
      <alignment horizontal="right"/>
    </xf>
    <xf numFmtId="4" fontId="9" fillId="3" borderId="68" xfId="0" applyNumberFormat="1" applyFont="1" applyFill="1" applyBorder="1" applyAlignment="1" applyProtection="1">
      <alignment horizontal="right"/>
    </xf>
    <xf numFmtId="4" fontId="9" fillId="3" borderId="18" xfId="0" applyNumberFormat="1" applyFont="1" applyFill="1" applyBorder="1" applyProtection="1"/>
    <xf numFmtId="4" fontId="9" fillId="3" borderId="20" xfId="0" applyNumberFormat="1" applyFont="1" applyFill="1" applyBorder="1" applyProtection="1"/>
    <xf numFmtId="4" fontId="10" fillId="0" borderId="0" xfId="0" applyNumberFormat="1" applyFont="1" applyAlignment="1" applyProtection="1">
      <alignment horizontal="centerContinuous"/>
    </xf>
    <xf numFmtId="192" fontId="10" fillId="3" borderId="51" xfId="0" applyNumberFormat="1" applyFont="1" applyFill="1" applyBorder="1" applyAlignment="1" applyProtection="1">
      <alignment horizontal="centerContinuous"/>
    </xf>
    <xf numFmtId="4" fontId="9" fillId="3" borderId="13" xfId="0" applyNumberFormat="1" applyFont="1" applyFill="1" applyBorder="1" applyAlignment="1" applyProtection="1">
      <alignment horizontal="centerContinuous"/>
    </xf>
    <xf numFmtId="4" fontId="9" fillId="3" borderId="3" xfId="0" applyNumberFormat="1" applyFont="1" applyFill="1" applyBorder="1" applyAlignment="1" applyProtection="1">
      <alignment horizontal="centerContinuous"/>
    </xf>
    <xf numFmtId="4" fontId="9" fillId="0" borderId="0" xfId="0" quotePrefix="1" applyNumberFormat="1" applyFont="1" applyAlignment="1" applyProtection="1">
      <alignment horizontal="right"/>
    </xf>
    <xf numFmtId="4" fontId="9" fillId="0" borderId="20" xfId="0" applyNumberFormat="1" applyFont="1" applyFill="1" applyBorder="1" applyAlignment="1" applyProtection="1">
      <alignment horizontal="right"/>
    </xf>
    <xf numFmtId="4" fontId="9" fillId="3" borderId="26" xfId="8" applyNumberFormat="1" applyFont="1" applyFill="1" applyBorder="1" applyAlignment="1" applyProtection="1">
      <alignment horizontal="right"/>
    </xf>
    <xf numFmtId="4" fontId="9" fillId="14" borderId="20" xfId="0" applyNumberFormat="1" applyFont="1" applyFill="1" applyBorder="1" applyAlignment="1" applyProtection="1">
      <alignment horizontal="centerContinuous"/>
    </xf>
    <xf numFmtId="4" fontId="9" fillId="0" borderId="20" xfId="0" applyNumberFormat="1" applyFont="1" applyBorder="1" applyAlignment="1" applyProtection="1">
      <alignment horizontal="centerContinuous"/>
    </xf>
    <xf numFmtId="4" fontId="9" fillId="0" borderId="24" xfId="0" quotePrefix="1" applyNumberFormat="1" applyFont="1" applyBorder="1" applyAlignment="1" applyProtection="1">
      <alignment horizontal="left"/>
    </xf>
    <xf numFmtId="4" fontId="9" fillId="0" borderId="20" xfId="0" applyNumberFormat="1" applyFont="1" applyBorder="1" applyAlignment="1" applyProtection="1">
      <alignment horizontal="right"/>
    </xf>
    <xf numFmtId="4" fontId="9" fillId="0" borderId="20" xfId="0" applyNumberFormat="1" applyFont="1" applyBorder="1" applyProtection="1"/>
    <xf numFmtId="4" fontId="9" fillId="0" borderId="21" xfId="0" applyNumberFormat="1" applyFont="1" applyBorder="1" applyProtection="1"/>
    <xf numFmtId="4" fontId="9" fillId="0" borderId="0" xfId="0" applyNumberFormat="1" applyFont="1" applyAlignment="1" applyProtection="1">
      <alignment horizontal="left"/>
    </xf>
    <xf numFmtId="4" fontId="9" fillId="0" borderId="0" xfId="0" applyNumberFormat="1" applyFont="1" applyAlignment="1" applyProtection="1">
      <alignment horizontal="right"/>
    </xf>
    <xf numFmtId="4" fontId="9" fillId="3" borderId="74" xfId="0" applyNumberFormat="1" applyFont="1" applyFill="1" applyBorder="1" applyAlignment="1" applyProtection="1">
      <alignment horizontal="right"/>
    </xf>
    <xf numFmtId="4" fontId="9" fillId="0" borderId="16" xfId="0" applyNumberFormat="1" applyFont="1" applyFill="1" applyBorder="1" applyProtection="1"/>
    <xf numFmtId="4" fontId="9" fillId="16" borderId="36" xfId="0" applyNumberFormat="1" applyFont="1" applyFill="1" applyBorder="1" applyAlignment="1" applyProtection="1">
      <alignment horizontal="right"/>
    </xf>
    <xf numFmtId="9" fontId="9" fillId="3" borderId="31" xfId="13" applyFont="1" applyFill="1" applyBorder="1" applyAlignment="1" applyProtection="1">
      <alignment horizontal="centerContinuous"/>
    </xf>
    <xf numFmtId="9" fontId="9" fillId="3" borderId="3" xfId="13" applyFont="1" applyFill="1" applyBorder="1" applyAlignment="1" applyProtection="1">
      <alignment horizontal="centerContinuous"/>
    </xf>
    <xf numFmtId="201" fontId="9" fillId="7" borderId="18" xfId="0" applyNumberFormat="1" applyFont="1" applyFill="1" applyBorder="1" applyProtection="1"/>
    <xf numFmtId="14" fontId="9" fillId="7" borderId="0" xfId="0" applyNumberFormat="1" applyFont="1" applyFill="1" applyBorder="1" applyAlignment="1" applyProtection="1">
      <alignment horizontal="left"/>
      <protection locked="0"/>
    </xf>
    <xf numFmtId="180" fontId="9" fillId="7" borderId="39" xfId="0" applyFont="1" applyFill="1" applyBorder="1" applyProtection="1">
      <protection locked="0"/>
    </xf>
    <xf numFmtId="3" fontId="9" fillId="4" borderId="0" xfId="0" applyNumberFormat="1" applyFont="1" applyFill="1" applyBorder="1" applyProtection="1">
      <protection locked="0"/>
    </xf>
    <xf numFmtId="3" fontId="9" fillId="7" borderId="28" xfId="0" quotePrefix="1" applyNumberFormat="1" applyFont="1" applyFill="1" applyBorder="1" applyAlignment="1" applyProtection="1">
      <alignment horizontal="centerContinuous"/>
      <protection locked="0"/>
    </xf>
    <xf numFmtId="4" fontId="9" fillId="7" borderId="20" xfId="0" quotePrefix="1" applyNumberFormat="1" applyFont="1" applyFill="1" applyBorder="1" applyAlignment="1" applyProtection="1">
      <alignment horizontal="centerContinuous"/>
      <protection locked="0"/>
    </xf>
    <xf numFmtId="180" fontId="9" fillId="0" borderId="0" xfId="0" applyFont="1" applyBorder="1" applyAlignment="1" applyProtection="1">
      <alignment horizontal="left"/>
    </xf>
    <xf numFmtId="4" fontId="9" fillId="0" borderId="75" xfId="0" quotePrefix="1" applyNumberFormat="1" applyFont="1" applyBorder="1" applyAlignment="1" applyProtection="1">
      <alignment horizontal="center"/>
    </xf>
    <xf numFmtId="180" fontId="10" fillId="8" borderId="5" xfId="0" applyFont="1" applyFill="1" applyBorder="1" applyAlignment="1" applyProtection="1">
      <alignment horizontal="centerContinuous"/>
    </xf>
    <xf numFmtId="4" fontId="9" fillId="8" borderId="43" xfId="0" applyNumberFormat="1" applyFont="1" applyFill="1" applyBorder="1" applyAlignment="1" applyProtection="1">
      <alignment horizontal="centerContinuous"/>
    </xf>
    <xf numFmtId="4" fontId="9" fillId="8" borderId="6" xfId="0" applyNumberFormat="1" applyFont="1" applyFill="1" applyBorder="1" applyAlignment="1" applyProtection="1">
      <alignment horizontal="centerContinuous"/>
    </xf>
    <xf numFmtId="4" fontId="10" fillId="0" borderId="0" xfId="0" applyNumberFormat="1" applyFont="1" applyProtection="1"/>
    <xf numFmtId="1" fontId="10" fillId="0" borderId="0" xfId="0" applyNumberFormat="1" applyFont="1" applyAlignment="1" applyProtection="1">
      <alignment horizontal="left"/>
    </xf>
    <xf numFmtId="180" fontId="13" fillId="0" borderId="0" xfId="0" quotePrefix="1" applyFont="1" applyAlignment="1" applyProtection="1">
      <alignment horizontal="left"/>
    </xf>
    <xf numFmtId="180" fontId="13" fillId="0" borderId="0" xfId="0" applyFont="1" applyProtection="1"/>
    <xf numFmtId="180" fontId="10" fillId="0" borderId="18" xfId="0" applyFont="1" applyBorder="1" applyAlignment="1" applyProtection="1">
      <alignment wrapText="1"/>
    </xf>
    <xf numFmtId="4" fontId="10" fillId="0" borderId="48" xfId="0" applyNumberFormat="1" applyFont="1" applyBorder="1" applyAlignment="1" applyProtection="1">
      <alignment horizontal="centerContinuous"/>
    </xf>
    <xf numFmtId="4" fontId="10" fillId="0" borderId="49" xfId="0" applyNumberFormat="1" applyFont="1" applyBorder="1" applyAlignment="1" applyProtection="1">
      <alignment horizontal="centerContinuous"/>
    </xf>
    <xf numFmtId="4" fontId="10" fillId="0" borderId="50" xfId="0" applyNumberFormat="1" applyFont="1" applyBorder="1" applyAlignment="1" applyProtection="1">
      <alignment horizontal="centerContinuous"/>
    </xf>
    <xf numFmtId="180" fontId="10" fillId="0" borderId="49" xfId="0" applyFont="1" applyBorder="1" applyAlignment="1" applyProtection="1">
      <alignment horizontal="centerContinuous"/>
    </xf>
    <xf numFmtId="180" fontId="10" fillId="0" borderId="62" xfId="0" applyFont="1" applyBorder="1" applyAlignment="1" applyProtection="1">
      <alignment wrapText="1"/>
    </xf>
    <xf numFmtId="4" fontId="10" fillId="0" borderId="62" xfId="0" applyNumberFormat="1" applyFont="1" applyBorder="1" applyAlignment="1" applyProtection="1">
      <alignment horizontal="center"/>
    </xf>
    <xf numFmtId="4" fontId="10" fillId="0" borderId="4" xfId="0" applyNumberFormat="1" applyFont="1" applyBorder="1" applyAlignment="1" applyProtection="1">
      <alignment horizontal="center"/>
    </xf>
    <xf numFmtId="180" fontId="10" fillId="0" borderId="4" xfId="0" applyFont="1" applyBorder="1" applyAlignment="1" applyProtection="1">
      <alignment horizontal="center"/>
    </xf>
    <xf numFmtId="4" fontId="10" fillId="0" borderId="16" xfId="0" applyNumberFormat="1" applyFont="1" applyBorder="1" applyAlignment="1" applyProtection="1">
      <alignment horizontal="center"/>
    </xf>
    <xf numFmtId="180" fontId="10" fillId="0" borderId="21" xfId="0" quotePrefix="1" applyFont="1" applyBorder="1" applyAlignment="1" applyProtection="1">
      <alignment horizontal="left"/>
    </xf>
    <xf numFmtId="4" fontId="10" fillId="0" borderId="66" xfId="0" quotePrefix="1" applyNumberFormat="1" applyFont="1" applyBorder="1" applyAlignment="1" applyProtection="1">
      <alignment horizontal="center"/>
    </xf>
    <xf numFmtId="4" fontId="10" fillId="0" borderId="23" xfId="0" quotePrefix="1" applyNumberFormat="1" applyFont="1" applyBorder="1" applyAlignment="1" applyProtection="1">
      <alignment horizontal="center"/>
    </xf>
    <xf numFmtId="4" fontId="10" fillId="0" borderId="30" xfId="0" quotePrefix="1" applyNumberFormat="1" applyFont="1" applyBorder="1" applyAlignment="1" applyProtection="1">
      <alignment horizontal="center"/>
    </xf>
    <xf numFmtId="4" fontId="10" fillId="0" borderId="23" xfId="0" applyNumberFormat="1" applyFont="1" applyBorder="1" applyAlignment="1" applyProtection="1">
      <alignment horizontal="center"/>
    </xf>
    <xf numFmtId="4" fontId="10" fillId="0" borderId="30" xfId="0" applyNumberFormat="1" applyFont="1" applyBorder="1" applyAlignment="1" applyProtection="1">
      <alignment horizontal="center"/>
    </xf>
    <xf numFmtId="180" fontId="10" fillId="0" borderId="23" xfId="0" quotePrefix="1" applyFont="1" applyBorder="1" applyAlignment="1" applyProtection="1">
      <alignment horizontal="center"/>
    </xf>
    <xf numFmtId="4" fontId="10" fillId="0" borderId="41" xfId="0" applyNumberFormat="1" applyFont="1" applyBorder="1" applyAlignment="1" applyProtection="1">
      <alignment horizontal="center"/>
    </xf>
    <xf numFmtId="180" fontId="14" fillId="0" borderId="20" xfId="0" applyFont="1" applyBorder="1" applyProtection="1"/>
    <xf numFmtId="4" fontId="9" fillId="0" borderId="62" xfId="0" applyNumberFormat="1" applyFont="1" applyBorder="1" applyProtection="1"/>
    <xf numFmtId="4" fontId="9" fillId="0" borderId="0" xfId="0" applyNumberFormat="1" applyFont="1" applyBorder="1" applyAlignment="1" applyProtection="1">
      <alignment horizontal="right"/>
    </xf>
    <xf numFmtId="4" fontId="9" fillId="0" borderId="10" xfId="0" applyNumberFormat="1" applyFont="1" applyBorder="1" applyAlignment="1" applyProtection="1">
      <alignment horizontal="right"/>
    </xf>
    <xf numFmtId="180" fontId="9" fillId="0" borderId="10" xfId="0" applyFont="1" applyBorder="1" applyAlignment="1" applyProtection="1">
      <alignment horizontal="right"/>
    </xf>
    <xf numFmtId="4" fontId="9" fillId="0" borderId="10" xfId="0" applyNumberFormat="1" applyFont="1" applyBorder="1" applyProtection="1"/>
    <xf numFmtId="4" fontId="9" fillId="0" borderId="16" xfId="0" applyNumberFormat="1" applyFont="1" applyBorder="1" applyAlignment="1" applyProtection="1">
      <alignment horizontal="right"/>
    </xf>
    <xf numFmtId="180" fontId="15" fillId="0" borderId="20" xfId="0" applyFont="1" applyFill="1" applyBorder="1" applyAlignment="1" applyProtection="1"/>
    <xf numFmtId="4" fontId="9" fillId="0" borderId="62" xfId="0" applyNumberFormat="1" applyFont="1" applyBorder="1" applyAlignment="1" applyProtection="1">
      <alignment horizontal="right"/>
    </xf>
    <xf numFmtId="4" fontId="9" fillId="0" borderId="4" xfId="0" applyNumberFormat="1" applyFont="1" applyBorder="1" applyAlignment="1" applyProtection="1">
      <alignment horizontal="right"/>
    </xf>
    <xf numFmtId="4" fontId="9" fillId="0" borderId="4" xfId="0" applyNumberFormat="1" applyFont="1" applyBorder="1" applyProtection="1"/>
    <xf numFmtId="4" fontId="9" fillId="0" borderId="62" xfId="0" applyNumberFormat="1" applyFont="1" applyFill="1" applyBorder="1" applyAlignment="1" applyProtection="1">
      <alignment horizontal="right"/>
    </xf>
    <xf numFmtId="4" fontId="9" fillId="0" borderId="0" xfId="0" applyNumberFormat="1" applyFont="1" applyFill="1" applyBorder="1" applyAlignment="1" applyProtection="1">
      <alignment horizontal="right"/>
    </xf>
    <xf numFmtId="4" fontId="9" fillId="0" borderId="10" xfId="0" applyNumberFormat="1" applyFont="1" applyFill="1" applyBorder="1" applyAlignment="1" applyProtection="1">
      <alignment horizontal="right"/>
    </xf>
    <xf numFmtId="180" fontId="9" fillId="0" borderId="10" xfId="0" applyFont="1" applyFill="1" applyBorder="1" applyAlignment="1" applyProtection="1">
      <alignment horizontal="right"/>
    </xf>
    <xf numFmtId="4" fontId="9" fillId="0" borderId="10" xfId="0" applyNumberFormat="1" applyFont="1" applyFill="1" applyBorder="1" applyProtection="1"/>
    <xf numFmtId="180" fontId="10" fillId="0" borderId="24" xfId="0" applyFont="1" applyBorder="1" applyProtection="1"/>
    <xf numFmtId="4" fontId="9" fillId="0" borderId="25" xfId="0" quotePrefix="1" applyNumberFormat="1" applyFont="1" applyBorder="1" applyAlignment="1" applyProtection="1">
      <alignment horizontal="center"/>
    </xf>
    <xf numFmtId="4" fontId="9" fillId="0" borderId="76" xfId="0" quotePrefix="1" applyNumberFormat="1" applyFont="1" applyBorder="1" applyAlignment="1" applyProtection="1">
      <alignment horizontal="center"/>
    </xf>
    <xf numFmtId="180" fontId="9" fillId="0" borderId="76" xfId="0" quotePrefix="1" applyFont="1" applyBorder="1" applyAlignment="1" applyProtection="1">
      <alignment horizontal="center"/>
    </xf>
    <xf numFmtId="4" fontId="9" fillId="0" borderId="0" xfId="0" applyNumberFormat="1" applyFont="1" applyAlignment="1" applyProtection="1">
      <alignment horizontal="center"/>
    </xf>
    <xf numFmtId="4" fontId="9" fillId="0" borderId="0" xfId="0" applyNumberFormat="1" applyFont="1" applyAlignment="1" applyProtection="1">
      <alignment horizontal="centerContinuous"/>
    </xf>
    <xf numFmtId="180" fontId="9" fillId="0" borderId="37" xfId="0" applyFont="1" applyBorder="1" applyProtection="1"/>
    <xf numFmtId="4" fontId="10" fillId="0" borderId="24" xfId="0" applyNumberFormat="1" applyFont="1" applyBorder="1" applyAlignment="1" applyProtection="1">
      <alignment horizontal="centerContinuous"/>
    </xf>
    <xf numFmtId="4" fontId="10" fillId="0" borderId="25" xfId="0" applyNumberFormat="1" applyFont="1" applyBorder="1" applyAlignment="1" applyProtection="1">
      <alignment horizontal="centerContinuous"/>
    </xf>
    <xf numFmtId="4" fontId="10" fillId="0" borderId="26" xfId="0" applyNumberFormat="1" applyFont="1" applyBorder="1" applyAlignment="1" applyProtection="1">
      <alignment horizontal="centerContinuous"/>
    </xf>
    <xf numFmtId="180" fontId="10" fillId="0" borderId="25" xfId="0" applyFont="1" applyBorder="1" applyAlignment="1" applyProtection="1">
      <alignment horizontal="centerContinuous"/>
    </xf>
    <xf numFmtId="180" fontId="10" fillId="0" borderId="39" xfId="0" quotePrefix="1" applyFont="1" applyBorder="1" applyAlignment="1" applyProtection="1">
      <alignment horizontal="left"/>
    </xf>
    <xf numFmtId="4" fontId="9" fillId="0" borderId="18" xfId="0" applyNumberFormat="1" applyFont="1" applyBorder="1" applyProtection="1"/>
    <xf numFmtId="4" fontId="9" fillId="0" borderId="28" xfId="0" quotePrefix="1" applyNumberFormat="1" applyFont="1" applyBorder="1" applyAlignment="1" applyProtection="1"/>
    <xf numFmtId="4" fontId="9" fillId="0" borderId="28" xfId="0" applyNumberFormat="1" applyFont="1" applyBorder="1" applyProtection="1"/>
    <xf numFmtId="4" fontId="9" fillId="0" borderId="19" xfId="0" applyNumberFormat="1" applyFont="1" applyBorder="1" applyProtection="1"/>
    <xf numFmtId="180" fontId="9" fillId="0" borderId="0" xfId="0" applyFont="1" applyBorder="1" applyProtection="1"/>
    <xf numFmtId="4" fontId="9" fillId="0" borderId="0" xfId="0" applyNumberFormat="1" applyFont="1" applyBorder="1" applyProtection="1"/>
    <xf numFmtId="4" fontId="9" fillId="0" borderId="16" xfId="0" applyNumberFormat="1" applyFont="1" applyBorder="1" applyProtection="1"/>
    <xf numFmtId="180" fontId="10" fillId="0" borderId="40" xfId="0" applyFont="1" applyBorder="1" applyProtection="1"/>
    <xf numFmtId="4" fontId="9" fillId="0" borderId="23" xfId="0" applyNumberFormat="1" applyFont="1" applyBorder="1" applyAlignment="1" applyProtection="1"/>
    <xf numFmtId="4" fontId="9" fillId="0" borderId="23" xfId="0" applyNumberFormat="1" applyFont="1" applyBorder="1" applyProtection="1"/>
    <xf numFmtId="4" fontId="9" fillId="0" borderId="22" xfId="0" applyNumberFormat="1" applyFont="1" applyBorder="1" applyProtection="1"/>
    <xf numFmtId="180" fontId="9" fillId="0" borderId="23" xfId="0" applyFont="1" applyBorder="1" applyProtection="1"/>
    <xf numFmtId="180" fontId="10" fillId="0" borderId="62" xfId="0" applyFont="1" applyBorder="1" applyProtection="1"/>
    <xf numFmtId="180" fontId="10" fillId="0" borderId="35" xfId="0" applyFont="1" applyBorder="1" applyProtection="1"/>
    <xf numFmtId="180" fontId="9" fillId="0" borderId="75" xfId="0" applyFont="1" applyBorder="1" applyAlignment="1" applyProtection="1">
      <alignment horizontal="center"/>
    </xf>
    <xf numFmtId="4" fontId="9" fillId="0" borderId="75" xfId="0" applyNumberFormat="1" applyFont="1" applyBorder="1" applyAlignment="1" applyProtection="1">
      <alignment horizontal="center"/>
    </xf>
    <xf numFmtId="180" fontId="13" fillId="0" borderId="0" xfId="0" quotePrefix="1" applyFont="1" applyFill="1" applyAlignment="1" applyProtection="1">
      <alignment horizontal="left"/>
    </xf>
    <xf numFmtId="4" fontId="9" fillId="0" borderId="0" xfId="0" applyNumberFormat="1" applyFont="1" applyFill="1" applyProtection="1"/>
    <xf numFmtId="180" fontId="9" fillId="0" borderId="0" xfId="0" applyFont="1" applyFill="1" applyProtection="1"/>
    <xf numFmtId="180" fontId="9" fillId="0" borderId="35" xfId="0" applyFont="1" applyFill="1" applyBorder="1" applyProtection="1"/>
    <xf numFmtId="4" fontId="10" fillId="0" borderId="24" xfId="0" applyNumberFormat="1" applyFont="1" applyFill="1" applyBorder="1" applyAlignment="1" applyProtection="1">
      <alignment horizontal="centerContinuous"/>
    </xf>
    <xf numFmtId="4" fontId="10" fillId="0" borderId="25" xfId="0" applyNumberFormat="1" applyFont="1" applyFill="1" applyBorder="1" applyAlignment="1" applyProtection="1">
      <alignment horizontal="centerContinuous"/>
    </xf>
    <xf numFmtId="4" fontId="10" fillId="0" borderId="26" xfId="0" applyNumberFormat="1" applyFont="1" applyFill="1" applyBorder="1" applyAlignment="1" applyProtection="1">
      <alignment horizontal="centerContinuous"/>
    </xf>
    <xf numFmtId="180" fontId="10" fillId="0" borderId="25" xfId="0" applyFont="1" applyFill="1" applyBorder="1" applyAlignment="1" applyProtection="1">
      <alignment horizontal="centerContinuous"/>
    </xf>
    <xf numFmtId="180" fontId="9" fillId="0" borderId="64" xfId="0" applyFont="1" applyFill="1" applyBorder="1" applyProtection="1"/>
    <xf numFmtId="180" fontId="10" fillId="0" borderId="35" xfId="0" applyFont="1" applyFill="1" applyBorder="1" applyProtection="1"/>
    <xf numFmtId="4" fontId="9" fillId="0" borderId="25" xfId="0" applyNumberFormat="1" applyFont="1" applyFill="1" applyBorder="1" applyProtection="1"/>
    <xf numFmtId="180" fontId="9" fillId="0" borderId="25" xfId="0" applyFont="1" applyFill="1" applyBorder="1" applyProtection="1"/>
    <xf numFmtId="180" fontId="14" fillId="0" borderId="69" xfId="0" applyFont="1" applyFill="1" applyBorder="1" applyProtection="1"/>
    <xf numFmtId="4" fontId="9" fillId="0" borderId="34" xfId="0" applyNumberFormat="1" applyFont="1" applyFill="1" applyBorder="1" applyProtection="1"/>
    <xf numFmtId="180" fontId="9" fillId="0" borderId="34" xfId="0" applyFont="1" applyFill="1" applyBorder="1" applyProtection="1"/>
    <xf numFmtId="180" fontId="10" fillId="0" borderId="0" xfId="0" applyFont="1" applyBorder="1" applyProtection="1"/>
    <xf numFmtId="4" fontId="9" fillId="0" borderId="0" xfId="8" applyNumberFormat="1" applyFont="1" applyBorder="1" applyProtection="1"/>
    <xf numFmtId="4" fontId="9" fillId="8" borderId="43" xfId="0" applyNumberFormat="1" applyFont="1" applyFill="1" applyBorder="1" applyProtection="1"/>
    <xf numFmtId="4" fontId="9" fillId="8" borderId="6" xfId="0" applyNumberFormat="1" applyFont="1" applyFill="1" applyBorder="1" applyProtection="1"/>
    <xf numFmtId="180" fontId="9" fillId="0" borderId="71" xfId="0" applyFont="1" applyFill="1" applyBorder="1" applyProtection="1"/>
    <xf numFmtId="4" fontId="10" fillId="0" borderId="33" xfId="0" applyNumberFormat="1" applyFont="1" applyFill="1" applyBorder="1" applyAlignment="1" applyProtection="1">
      <alignment horizontal="centerContinuous"/>
    </xf>
    <xf numFmtId="4" fontId="10" fillId="0" borderId="75" xfId="0" applyNumberFormat="1" applyFont="1" applyFill="1" applyBorder="1" applyAlignment="1" applyProtection="1">
      <alignment horizontal="centerContinuous"/>
    </xf>
    <xf numFmtId="180" fontId="10" fillId="0" borderId="37" xfId="0" applyFont="1" applyBorder="1" applyProtection="1"/>
    <xf numFmtId="180" fontId="10" fillId="0" borderId="39" xfId="0" applyFont="1" applyBorder="1" applyAlignment="1" applyProtection="1">
      <alignment horizontal="center"/>
    </xf>
    <xf numFmtId="4" fontId="10" fillId="0" borderId="18" xfId="0" applyNumberFormat="1" applyFont="1" applyBorder="1" applyAlignment="1" applyProtection="1">
      <alignment horizontal="centerContinuous"/>
    </xf>
    <xf numFmtId="4" fontId="10" fillId="0" borderId="28" xfId="0" applyNumberFormat="1" applyFont="1" applyBorder="1" applyAlignment="1" applyProtection="1">
      <alignment horizontal="centerContinuous"/>
    </xf>
    <xf numFmtId="4" fontId="10" fillId="0" borderId="29" xfId="0" applyNumberFormat="1" applyFont="1" applyBorder="1" applyAlignment="1" applyProtection="1">
      <alignment horizontal="center"/>
    </xf>
    <xf numFmtId="4" fontId="10" fillId="0" borderId="63" xfId="0" applyNumberFormat="1" applyFont="1" applyBorder="1" applyAlignment="1" applyProtection="1">
      <alignment horizontal="center"/>
    </xf>
    <xf numFmtId="4" fontId="10" fillId="0" borderId="19" xfId="0" applyNumberFormat="1" applyFont="1" applyBorder="1" applyAlignment="1" applyProtection="1">
      <alignment horizontal="center"/>
    </xf>
    <xf numFmtId="180" fontId="10" fillId="0" borderId="28" xfId="0" applyFont="1" applyBorder="1" applyAlignment="1" applyProtection="1">
      <alignment horizontal="centerContinuous"/>
    </xf>
    <xf numFmtId="4" fontId="10" fillId="0" borderId="21" xfId="0" applyNumberFormat="1" applyFont="1" applyBorder="1" applyAlignment="1" applyProtection="1">
      <alignment horizontal="centerContinuous"/>
    </xf>
    <xf numFmtId="4" fontId="10" fillId="0" borderId="23" xfId="0" applyNumberFormat="1" applyFont="1" applyBorder="1" applyAlignment="1" applyProtection="1">
      <alignment horizontal="centerContinuous"/>
    </xf>
    <xf numFmtId="4" fontId="10" fillId="0" borderId="47" xfId="0" applyNumberFormat="1" applyFont="1" applyBorder="1" applyAlignment="1" applyProtection="1">
      <alignment horizontal="center"/>
    </xf>
    <xf numFmtId="4" fontId="10" fillId="0" borderId="22" xfId="0" applyNumberFormat="1" applyFont="1" applyBorder="1" applyAlignment="1" applyProtection="1">
      <alignment horizontal="center"/>
    </xf>
    <xf numFmtId="180" fontId="10" fillId="0" borderId="23" xfId="0" applyFont="1" applyBorder="1" applyAlignment="1" applyProtection="1">
      <alignment horizontal="centerContinuous"/>
    </xf>
    <xf numFmtId="180" fontId="14" fillId="0" borderId="37" xfId="0" quotePrefix="1" applyFont="1" applyBorder="1" applyAlignment="1" applyProtection="1">
      <alignment horizontal="left"/>
    </xf>
    <xf numFmtId="4" fontId="9" fillId="0" borderId="18" xfId="0" applyNumberFormat="1" applyFont="1" applyBorder="1" applyAlignment="1" applyProtection="1">
      <alignment horizontal="centerContinuous"/>
    </xf>
    <xf numFmtId="4" fontId="9" fillId="0" borderId="28" xfId="0" applyNumberFormat="1" applyFont="1" applyBorder="1" applyAlignment="1" applyProtection="1">
      <alignment horizontal="centerContinuous"/>
    </xf>
    <xf numFmtId="4" fontId="9" fillId="0" borderId="63" xfId="0" applyNumberFormat="1" applyFont="1" applyBorder="1" applyProtection="1"/>
    <xf numFmtId="180" fontId="9" fillId="0" borderId="28" xfId="0" applyFont="1" applyBorder="1" applyProtection="1"/>
    <xf numFmtId="4" fontId="9" fillId="0" borderId="29" xfId="0" applyNumberFormat="1" applyFont="1" applyBorder="1" applyProtection="1"/>
    <xf numFmtId="180" fontId="14" fillId="0" borderId="39" xfId="0" applyFont="1" applyBorder="1" applyProtection="1"/>
    <xf numFmtId="4" fontId="9" fillId="0" borderId="0" xfId="0" applyNumberFormat="1" applyFont="1" applyBorder="1" applyAlignment="1" applyProtection="1">
      <alignment horizontal="centerContinuous"/>
    </xf>
    <xf numFmtId="180" fontId="14" fillId="0" borderId="39" xfId="0" quotePrefix="1" applyFont="1" applyBorder="1" applyAlignment="1" applyProtection="1">
      <alignment horizontal="left"/>
    </xf>
    <xf numFmtId="4" fontId="9" fillId="0" borderId="25" xfId="0" applyNumberFormat="1" applyFont="1" applyBorder="1" applyAlignment="1" applyProtection="1">
      <alignment horizontal="centerContinuous"/>
    </xf>
    <xf numFmtId="4" fontId="9" fillId="0" borderId="30" xfId="0" quotePrefix="1" applyNumberFormat="1" applyFont="1" applyBorder="1" applyAlignment="1" applyProtection="1">
      <alignment horizontal="center"/>
    </xf>
    <xf numFmtId="4" fontId="9" fillId="3" borderId="0" xfId="0" applyNumberFormat="1" applyFont="1" applyFill="1" applyAlignment="1" applyProtection="1">
      <alignment horizontal="right"/>
    </xf>
    <xf numFmtId="180" fontId="10" fillId="0" borderId="40" xfId="0" applyFont="1" applyBorder="1" applyAlignment="1" applyProtection="1">
      <alignment horizontal="center"/>
    </xf>
    <xf numFmtId="4" fontId="10" fillId="0" borderId="33" xfId="0" applyNumberFormat="1" applyFont="1" applyBorder="1" applyAlignment="1" applyProtection="1">
      <alignment horizontal="centerContinuous"/>
    </xf>
    <xf numFmtId="4" fontId="9" fillId="0" borderId="33" xfId="0" quotePrefix="1" applyNumberFormat="1" applyFont="1" applyBorder="1" applyAlignment="1" applyProtection="1"/>
    <xf numFmtId="4" fontId="9" fillId="0" borderId="26" xfId="0" applyNumberFormat="1" applyFont="1" applyBorder="1" applyAlignment="1" applyProtection="1"/>
    <xf numFmtId="4" fontId="9" fillId="0" borderId="33" xfId="0" applyNumberFormat="1" applyFont="1" applyBorder="1" applyProtection="1"/>
    <xf numFmtId="4" fontId="9" fillId="0" borderId="26" xfId="0" applyNumberFormat="1" applyFont="1" applyBorder="1" applyProtection="1"/>
    <xf numFmtId="180" fontId="10" fillId="0" borderId="7" xfId="0" applyFont="1" applyBorder="1" applyAlignment="1" applyProtection="1">
      <alignment horizontal="centerContinuous"/>
    </xf>
    <xf numFmtId="4" fontId="9" fillId="0" borderId="43" xfId="0" applyNumberFormat="1" applyFont="1" applyBorder="1" applyAlignment="1" applyProtection="1">
      <alignment horizontal="centerContinuous"/>
    </xf>
    <xf numFmtId="4" fontId="9" fillId="0" borderId="6" xfId="0" applyNumberFormat="1" applyFont="1" applyBorder="1" applyAlignment="1" applyProtection="1">
      <alignment horizontal="centerContinuous"/>
    </xf>
    <xf numFmtId="4" fontId="9" fillId="0" borderId="34" xfId="0" applyNumberFormat="1" applyFont="1" applyBorder="1" applyAlignment="1" applyProtection="1">
      <alignment horizontal="centerContinuous"/>
    </xf>
    <xf numFmtId="180" fontId="16" fillId="0" borderId="0" xfId="0" applyFont="1" applyProtection="1"/>
    <xf numFmtId="4" fontId="10" fillId="0" borderId="31" xfId="0" applyNumberFormat="1" applyFont="1" applyBorder="1" applyAlignment="1" applyProtection="1">
      <alignment horizontal="centerContinuous"/>
    </xf>
    <xf numFmtId="4" fontId="10" fillId="0" borderId="38" xfId="0" applyNumberFormat="1" applyFont="1" applyBorder="1" applyAlignment="1" applyProtection="1">
      <alignment horizontal="center"/>
    </xf>
    <xf numFmtId="4" fontId="10" fillId="0" borderId="32" xfId="0" applyNumberFormat="1" applyFont="1" applyBorder="1" applyAlignment="1" applyProtection="1">
      <alignment horizontal="centerContinuous"/>
    </xf>
    <xf numFmtId="4" fontId="9" fillId="0" borderId="25" xfId="0" applyNumberFormat="1" applyFont="1" applyFill="1" applyBorder="1" applyAlignment="1" applyProtection="1">
      <alignment horizontal="centerContinuous"/>
    </xf>
    <xf numFmtId="4" fontId="9" fillId="0" borderId="33" xfId="0" quotePrefix="1" applyNumberFormat="1" applyFont="1" applyBorder="1" applyAlignment="1" applyProtection="1">
      <alignment horizontal="centerContinuous"/>
    </xf>
    <xf numFmtId="180" fontId="9" fillId="0" borderId="24" xfId="0" applyFont="1" applyBorder="1" applyAlignment="1" applyProtection="1">
      <alignment horizontal="centerContinuous"/>
    </xf>
    <xf numFmtId="4" fontId="9" fillId="0" borderId="26" xfId="0" applyNumberFormat="1" applyFont="1" applyBorder="1" applyAlignment="1" applyProtection="1">
      <alignment horizontal="centerContinuous"/>
    </xf>
    <xf numFmtId="180" fontId="9" fillId="0" borderId="0" xfId="0" applyFont="1" applyBorder="1" applyAlignment="1" applyProtection="1">
      <alignment horizontal="centerContinuous"/>
    </xf>
    <xf numFmtId="4" fontId="9" fillId="9" borderId="0" xfId="0" applyNumberFormat="1" applyFont="1" applyFill="1" applyBorder="1" applyProtection="1"/>
    <xf numFmtId="180" fontId="16" fillId="0" borderId="0" xfId="0" quotePrefix="1" applyFont="1" applyAlignment="1" applyProtection="1">
      <alignment horizontal="left"/>
    </xf>
    <xf numFmtId="4" fontId="9" fillId="0" borderId="0" xfId="0" quotePrefix="1" applyNumberFormat="1" applyFont="1" applyBorder="1" applyAlignment="1" applyProtection="1">
      <alignment horizontal="centerContinuous"/>
    </xf>
    <xf numFmtId="180" fontId="10" fillId="0" borderId="37" xfId="0" applyFont="1" applyBorder="1" applyAlignment="1" applyProtection="1">
      <alignment horizontal="center"/>
    </xf>
    <xf numFmtId="180" fontId="9" fillId="0" borderId="25" xfId="0" applyFont="1" applyBorder="1" applyAlignment="1" applyProtection="1">
      <alignment horizontal="centerContinuous"/>
    </xf>
    <xf numFmtId="4" fontId="9" fillId="0" borderId="32" xfId="0" quotePrefix="1" applyNumberFormat="1" applyFont="1" applyBorder="1" applyAlignment="1" applyProtection="1">
      <alignment horizontal="centerContinuous"/>
    </xf>
    <xf numFmtId="4" fontId="10" fillId="0" borderId="18" xfId="0" applyNumberFormat="1" applyFont="1" applyBorder="1" applyAlignment="1" applyProtection="1">
      <alignment horizontal="center"/>
    </xf>
    <xf numFmtId="4" fontId="10" fillId="0" borderId="31" xfId="0" applyNumberFormat="1" applyFont="1" applyBorder="1" applyAlignment="1" applyProtection="1">
      <alignment horizontal="center"/>
    </xf>
    <xf numFmtId="180" fontId="10" fillId="0" borderId="31" xfId="0" applyFont="1" applyBorder="1" applyAlignment="1" applyProtection="1">
      <alignment horizontal="center"/>
    </xf>
    <xf numFmtId="4" fontId="10" fillId="0" borderId="21" xfId="0" quotePrefix="1" applyNumberFormat="1" applyFont="1" applyBorder="1" applyAlignment="1" applyProtection="1">
      <alignment horizontal="center"/>
    </xf>
    <xf numFmtId="4" fontId="10" fillId="0" borderId="32" xfId="0" applyNumberFormat="1" applyFont="1" applyBorder="1" applyAlignment="1" applyProtection="1">
      <alignment horizontal="center"/>
    </xf>
    <xf numFmtId="4" fontId="10" fillId="0" borderId="32" xfId="0" quotePrefix="1" applyNumberFormat="1" applyFont="1" applyBorder="1" applyAlignment="1" applyProtection="1">
      <alignment horizontal="centerContinuous"/>
    </xf>
    <xf numFmtId="180" fontId="10" fillId="0" borderId="32" xfId="0" applyFont="1" applyBorder="1" applyAlignment="1" applyProtection="1">
      <alignment horizontal="center"/>
    </xf>
    <xf numFmtId="180" fontId="10" fillId="0" borderId="35" xfId="0" applyFont="1" applyBorder="1" applyAlignment="1" applyProtection="1">
      <alignment horizontal="left"/>
    </xf>
    <xf numFmtId="4" fontId="9" fillId="0" borderId="33" xfId="0" quotePrefix="1" applyNumberFormat="1" applyFont="1" applyBorder="1" applyAlignment="1" applyProtection="1">
      <alignment horizontal="center"/>
    </xf>
    <xf numFmtId="4" fontId="9" fillId="0" borderId="0" xfId="0" applyNumberFormat="1" applyFont="1" applyFill="1" applyAlignment="1" applyProtection="1">
      <alignment horizontal="right"/>
    </xf>
    <xf numFmtId="4" fontId="9" fillId="0" borderId="0" xfId="0" applyNumberFormat="1" applyFont="1" applyFill="1" applyAlignment="1" applyProtection="1">
      <alignment horizontal="centerContinuous"/>
    </xf>
    <xf numFmtId="4" fontId="9" fillId="0" borderId="25" xfId="0" applyNumberFormat="1" applyFont="1" applyBorder="1" applyProtection="1"/>
    <xf numFmtId="180" fontId="9" fillId="0" borderId="24" xfId="0" applyFont="1" applyBorder="1" applyProtection="1"/>
    <xf numFmtId="4" fontId="17" fillId="0" borderId="0" xfId="0" applyNumberFormat="1" applyFont="1" applyProtection="1"/>
    <xf numFmtId="180" fontId="10" fillId="0" borderId="35" xfId="0" applyFont="1" applyBorder="1" applyAlignment="1" applyProtection="1">
      <alignment horizontal="center"/>
    </xf>
    <xf numFmtId="4" fontId="9" fillId="0" borderId="33" xfId="0" applyNumberFormat="1" applyFont="1" applyBorder="1" applyAlignment="1" applyProtection="1">
      <alignment horizontal="centerContinuous"/>
    </xf>
    <xf numFmtId="180" fontId="10" fillId="0" borderId="35" xfId="0" quotePrefix="1" applyFont="1" applyBorder="1" applyAlignment="1" applyProtection="1">
      <alignment horizontal="center"/>
    </xf>
    <xf numFmtId="4" fontId="10" fillId="0" borderId="63" xfId="0" applyNumberFormat="1" applyFont="1" applyBorder="1" applyAlignment="1" applyProtection="1">
      <alignment horizontal="centerContinuous"/>
    </xf>
    <xf numFmtId="4" fontId="10" fillId="0" borderId="19" xfId="0" applyNumberFormat="1" applyFont="1" applyBorder="1" applyAlignment="1" applyProtection="1">
      <alignment horizontal="centerContinuous"/>
    </xf>
    <xf numFmtId="180" fontId="10" fillId="0" borderId="63" xfId="0" applyFont="1" applyBorder="1" applyAlignment="1" applyProtection="1">
      <alignment horizontal="centerContinuous"/>
    </xf>
    <xf numFmtId="4" fontId="9" fillId="0" borderId="75" xfId="0" applyNumberFormat="1" applyFont="1" applyBorder="1" applyAlignment="1" applyProtection="1">
      <alignment horizontal="centerContinuous"/>
    </xf>
    <xf numFmtId="180" fontId="10" fillId="0" borderId="0" xfId="0" applyFont="1" applyBorder="1" applyAlignment="1" applyProtection="1">
      <alignment horizontal="center"/>
    </xf>
    <xf numFmtId="4" fontId="17" fillId="0" borderId="0" xfId="0" applyNumberFormat="1" applyFont="1" applyBorder="1" applyAlignment="1" applyProtection="1">
      <alignment horizontal="centerContinuous"/>
    </xf>
    <xf numFmtId="180" fontId="16" fillId="0" borderId="0" xfId="0" applyFont="1" applyBorder="1" applyAlignment="1" applyProtection="1">
      <alignment horizontal="left"/>
    </xf>
    <xf numFmtId="180" fontId="9" fillId="0" borderId="35" xfId="0" applyFont="1" applyBorder="1" applyAlignment="1" applyProtection="1">
      <alignment horizontal="left"/>
    </xf>
    <xf numFmtId="4" fontId="10" fillId="0" borderId="36" xfId="0" applyNumberFormat="1" applyFont="1" applyBorder="1" applyAlignment="1" applyProtection="1">
      <alignment horizontal="center"/>
    </xf>
    <xf numFmtId="180" fontId="9" fillId="0" borderId="24" xfId="0" applyFont="1" applyBorder="1" applyAlignment="1" applyProtection="1">
      <alignment horizontal="left"/>
    </xf>
    <xf numFmtId="4" fontId="9" fillId="0" borderId="75" xfId="0" applyNumberFormat="1" applyFont="1" applyBorder="1" applyProtection="1"/>
    <xf numFmtId="180" fontId="9" fillId="0" borderId="37" xfId="0" applyFont="1" applyBorder="1" applyAlignment="1" applyProtection="1">
      <alignment horizontal="center"/>
    </xf>
    <xf numFmtId="180" fontId="10" fillId="0" borderId="0" xfId="0" quotePrefix="1" applyFont="1" applyBorder="1" applyAlignment="1" applyProtection="1">
      <alignment horizontal="center"/>
    </xf>
    <xf numFmtId="181" fontId="9" fillId="0" borderId="0" xfId="0" applyNumberFormat="1" applyFont="1" applyBorder="1" applyAlignment="1" applyProtection="1">
      <alignment horizontal="centerContinuous"/>
    </xf>
    <xf numFmtId="180" fontId="9" fillId="0" borderId="40" xfId="0" applyFont="1" applyBorder="1" applyAlignment="1" applyProtection="1">
      <alignment horizontal="center"/>
    </xf>
    <xf numFmtId="4" fontId="10" fillId="0" borderId="32" xfId="0" quotePrefix="1" applyNumberFormat="1" applyFont="1" applyBorder="1" applyAlignment="1" applyProtection="1">
      <alignment horizontal="center"/>
    </xf>
    <xf numFmtId="4" fontId="9" fillId="0" borderId="0" xfId="0" quotePrefix="1" applyNumberFormat="1" applyFont="1" applyAlignment="1" applyProtection="1">
      <alignment horizontal="left"/>
    </xf>
    <xf numFmtId="180" fontId="9" fillId="0" borderId="0" xfId="0" quotePrefix="1" applyFont="1" applyAlignment="1" applyProtection="1">
      <alignment horizontal="left"/>
    </xf>
    <xf numFmtId="180" fontId="13" fillId="0" borderId="0" xfId="0" applyFont="1" applyAlignment="1" applyProtection="1">
      <alignment horizontal="left"/>
    </xf>
    <xf numFmtId="180" fontId="16" fillId="0" borderId="0" xfId="0" applyFont="1" applyAlignment="1" applyProtection="1">
      <alignment horizontal="left"/>
    </xf>
    <xf numFmtId="4" fontId="9" fillId="0" borderId="0" xfId="0" applyNumberFormat="1" applyFont="1" applyBorder="1" applyAlignment="1" applyProtection="1">
      <alignment horizontal="center"/>
    </xf>
    <xf numFmtId="180" fontId="9" fillId="0" borderId="26" xfId="0" applyFont="1" applyBorder="1" applyProtection="1"/>
    <xf numFmtId="180" fontId="13" fillId="0" borderId="0" xfId="0" applyFont="1" applyBorder="1" applyAlignment="1" applyProtection="1">
      <alignment horizontal="left"/>
    </xf>
    <xf numFmtId="180" fontId="10" fillId="0" borderId="37" xfId="0" applyFont="1" applyBorder="1" applyAlignment="1" applyProtection="1">
      <alignment horizontal="left"/>
    </xf>
    <xf numFmtId="4" fontId="10" fillId="0" borderId="25" xfId="0" quotePrefix="1" applyNumberFormat="1" applyFont="1" applyBorder="1" applyAlignment="1" applyProtection="1">
      <alignment horizontal="centerContinuous"/>
    </xf>
    <xf numFmtId="4" fontId="10" fillId="0" borderId="35" xfId="0" applyNumberFormat="1" applyFont="1" applyBorder="1" applyAlignment="1" applyProtection="1">
      <alignment horizontal="centerContinuous"/>
    </xf>
    <xf numFmtId="180" fontId="10" fillId="0" borderId="26" xfId="0" applyFont="1" applyBorder="1" applyAlignment="1" applyProtection="1">
      <alignment horizontal="centerContinuous"/>
    </xf>
    <xf numFmtId="180" fontId="9" fillId="0" borderId="0" xfId="0" applyFont="1" applyBorder="1" applyAlignment="1" applyProtection="1">
      <alignment horizontal="center"/>
    </xf>
    <xf numFmtId="4" fontId="9" fillId="0" borderId="24" xfId="0" applyNumberFormat="1" applyFont="1" applyBorder="1" applyAlignment="1" applyProtection="1"/>
    <xf numFmtId="4" fontId="9" fillId="0" borderId="25" xfId="0" quotePrefix="1" applyNumberFormat="1" applyFont="1" applyBorder="1" applyAlignment="1" applyProtection="1"/>
    <xf numFmtId="4" fontId="9" fillId="0" borderId="25" xfId="0" applyNumberFormat="1" applyFont="1" applyBorder="1" applyAlignment="1" applyProtection="1"/>
    <xf numFmtId="4" fontId="9" fillId="0" borderId="0" xfId="0" applyNumberFormat="1" applyFont="1" applyBorder="1" applyAlignment="1" applyProtection="1"/>
    <xf numFmtId="180" fontId="10" fillId="2" borderId="5" xfId="0" applyFont="1" applyFill="1" applyBorder="1" applyAlignment="1" applyProtection="1">
      <alignment horizontal="centerContinuous"/>
    </xf>
    <xf numFmtId="4" fontId="9" fillId="2" borderId="43" xfId="0" applyNumberFormat="1" applyFont="1" applyFill="1" applyBorder="1" applyAlignment="1" applyProtection="1">
      <alignment horizontal="centerContinuous"/>
    </xf>
    <xf numFmtId="4" fontId="9" fillId="2" borderId="6" xfId="0" applyNumberFormat="1" applyFont="1" applyFill="1" applyBorder="1" applyAlignment="1" applyProtection="1">
      <alignment horizontal="centerContinuous"/>
    </xf>
    <xf numFmtId="180" fontId="9" fillId="0" borderId="39" xfId="0" applyFont="1" applyBorder="1" applyProtection="1"/>
    <xf numFmtId="186" fontId="9" fillId="3" borderId="25" xfId="0" applyNumberFormat="1" applyFont="1" applyFill="1" applyBorder="1" applyAlignment="1" applyProtection="1">
      <alignment horizontal="centerContinuous"/>
    </xf>
    <xf numFmtId="180" fontId="10" fillId="0" borderId="39" xfId="0" applyFont="1" applyBorder="1" applyProtection="1"/>
    <xf numFmtId="4" fontId="10" fillId="0" borderId="51" xfId="0" quotePrefix="1" applyNumberFormat="1" applyFont="1" applyBorder="1" applyAlignment="1" applyProtection="1">
      <alignment horizontal="centerContinuous"/>
    </xf>
    <xf numFmtId="186" fontId="9" fillId="0" borderId="25" xfId="0" applyNumberFormat="1" applyFont="1" applyBorder="1" applyAlignment="1" applyProtection="1">
      <alignment horizontal="centerContinuous"/>
    </xf>
    <xf numFmtId="4" fontId="9" fillId="0" borderId="33" xfId="0" applyNumberFormat="1" applyFont="1" applyFill="1" applyBorder="1" applyAlignment="1" applyProtection="1">
      <alignment horizontal="centerContinuous"/>
    </xf>
    <xf numFmtId="4" fontId="9" fillId="0" borderId="0" xfId="0" quotePrefix="1" applyNumberFormat="1" applyFont="1" applyBorder="1" applyAlignment="1" applyProtection="1">
      <alignment horizontal="center"/>
    </xf>
    <xf numFmtId="4" fontId="9" fillId="9" borderId="0" xfId="0" applyNumberFormat="1" applyFont="1" applyFill="1" applyBorder="1" applyAlignment="1" applyProtection="1">
      <alignment horizontal="centerContinuous"/>
    </xf>
    <xf numFmtId="180" fontId="9" fillId="0" borderId="39" xfId="0" quotePrefix="1" applyFont="1" applyBorder="1" applyAlignment="1" applyProtection="1">
      <alignment horizontal="left"/>
    </xf>
    <xf numFmtId="180" fontId="9" fillId="0" borderId="40" xfId="0" applyFont="1" applyBorder="1" applyProtection="1"/>
    <xf numFmtId="180" fontId="9" fillId="0" borderId="0" xfId="0" applyFont="1" applyAlignment="1" applyProtection="1">
      <alignment horizontal="centerContinuous"/>
    </xf>
    <xf numFmtId="14" fontId="9" fillId="0" borderId="0" xfId="0" applyNumberFormat="1" applyFont="1" applyAlignment="1" applyProtection="1">
      <alignment horizontal="centerContinuous"/>
    </xf>
    <xf numFmtId="180" fontId="9" fillId="0" borderId="37" xfId="0" quotePrefix="1" applyFont="1" applyBorder="1" applyAlignment="1" applyProtection="1">
      <alignment horizontal="left"/>
    </xf>
    <xf numFmtId="180" fontId="9" fillId="0" borderId="67" xfId="0" applyFont="1" applyBorder="1" applyProtection="1"/>
    <xf numFmtId="180" fontId="10" fillId="0" borderId="67" xfId="0" applyFont="1" applyBorder="1" applyAlignment="1" applyProtection="1">
      <alignment horizontal="center"/>
    </xf>
    <xf numFmtId="180" fontId="10" fillId="0" borderId="61" xfId="0" quotePrefix="1" applyFont="1" applyBorder="1" applyAlignment="1" applyProtection="1">
      <alignment horizontal="left"/>
    </xf>
    <xf numFmtId="4" fontId="9" fillId="0" borderId="23" xfId="0" applyNumberFormat="1" applyFont="1" applyFill="1" applyBorder="1" applyAlignment="1" applyProtection="1">
      <alignment horizontal="centerContinuous"/>
    </xf>
    <xf numFmtId="4" fontId="9" fillId="0" borderId="32" xfId="0" applyNumberFormat="1" applyFont="1" applyBorder="1" applyAlignment="1" applyProtection="1">
      <alignment horizontal="centerContinuous"/>
    </xf>
    <xf numFmtId="4" fontId="9" fillId="0" borderId="22" xfId="0" applyNumberFormat="1" applyFont="1" applyBorder="1" applyAlignment="1" applyProtection="1">
      <alignment horizontal="centerContinuous"/>
    </xf>
    <xf numFmtId="4" fontId="9" fillId="3" borderId="23" xfId="0" applyNumberFormat="1" applyFont="1" applyFill="1" applyBorder="1" applyAlignment="1" applyProtection="1">
      <alignment horizontal="centerContinuous"/>
    </xf>
    <xf numFmtId="4" fontId="9" fillId="3" borderId="28" xfId="0" applyNumberFormat="1" applyFont="1" applyFill="1" applyBorder="1" applyAlignment="1" applyProtection="1">
      <alignment horizontal="centerContinuous"/>
    </xf>
    <xf numFmtId="4" fontId="9" fillId="3" borderId="19" xfId="0" applyNumberFormat="1" applyFont="1" applyFill="1" applyBorder="1" applyAlignment="1" applyProtection="1">
      <alignment horizontal="centerContinuous"/>
    </xf>
    <xf numFmtId="186" fontId="9" fillId="3" borderId="28" xfId="0" applyNumberFormat="1" applyFont="1" applyFill="1" applyBorder="1" applyAlignment="1" applyProtection="1">
      <alignment horizontal="centerContinuous"/>
    </xf>
    <xf numFmtId="4" fontId="9" fillId="3" borderId="0" xfId="0" applyNumberFormat="1" applyFont="1" applyFill="1" applyBorder="1" applyAlignment="1" applyProtection="1">
      <alignment horizontal="centerContinuous"/>
    </xf>
    <xf numFmtId="4" fontId="9" fillId="3" borderId="16" xfId="0" applyNumberFormat="1" applyFont="1" applyFill="1" applyBorder="1" applyAlignment="1" applyProtection="1">
      <alignment horizontal="centerContinuous"/>
    </xf>
    <xf numFmtId="186" fontId="9" fillId="3" borderId="0" xfId="0" applyNumberFormat="1" applyFont="1" applyFill="1" applyBorder="1" applyAlignment="1" applyProtection="1">
      <alignment horizontal="centerContinuous"/>
    </xf>
    <xf numFmtId="4" fontId="9" fillId="3" borderId="22" xfId="0" applyNumberFormat="1" applyFont="1" applyFill="1" applyBorder="1" applyAlignment="1" applyProtection="1">
      <alignment horizontal="centerContinuous"/>
    </xf>
    <xf numFmtId="186" fontId="9" fillId="3" borderId="23" xfId="0" applyNumberFormat="1" applyFont="1" applyFill="1" applyBorder="1" applyAlignment="1" applyProtection="1">
      <alignment horizontal="centerContinuous"/>
    </xf>
    <xf numFmtId="4" fontId="9" fillId="3" borderId="26" xfId="0" applyNumberFormat="1" applyFont="1" applyFill="1" applyBorder="1" applyAlignment="1" applyProtection="1">
      <alignment horizontal="centerContinuous"/>
    </xf>
    <xf numFmtId="180" fontId="9" fillId="10" borderId="37" xfId="0" applyFont="1" applyFill="1" applyBorder="1" applyProtection="1"/>
    <xf numFmtId="4" fontId="9" fillId="10" borderId="28" xfId="0" applyNumberFormat="1" applyFont="1" applyFill="1" applyBorder="1" applyAlignment="1" applyProtection="1">
      <alignment horizontal="centerContinuous"/>
    </xf>
    <xf numFmtId="4" fontId="9" fillId="0" borderId="31" xfId="0" quotePrefix="1" applyNumberFormat="1" applyFont="1" applyBorder="1" applyAlignment="1" applyProtection="1">
      <alignment horizontal="left"/>
    </xf>
    <xf numFmtId="4" fontId="9" fillId="0" borderId="19" xfId="0" applyNumberFormat="1" applyFont="1" applyBorder="1" applyAlignment="1" applyProtection="1">
      <alignment horizontal="centerContinuous"/>
    </xf>
    <xf numFmtId="4" fontId="9" fillId="0" borderId="3" xfId="0" quotePrefix="1" applyNumberFormat="1" applyFont="1" applyBorder="1" applyAlignment="1" applyProtection="1">
      <alignment horizontal="left"/>
    </xf>
    <xf numFmtId="4" fontId="9" fillId="3" borderId="3" xfId="13" applyNumberFormat="1" applyFont="1" applyFill="1" applyBorder="1" applyAlignment="1" applyProtection="1">
      <alignment horizontal="centerContinuous"/>
    </xf>
    <xf numFmtId="4" fontId="9" fillId="0" borderId="3" xfId="0" applyNumberFormat="1" applyFont="1" applyBorder="1" applyProtection="1"/>
    <xf numFmtId="180" fontId="9" fillId="3" borderId="40" xfId="0" applyFont="1" applyFill="1" applyBorder="1" applyProtection="1"/>
    <xf numFmtId="4" fontId="10" fillId="0" borderId="3" xfId="0" applyNumberFormat="1" applyFont="1" applyBorder="1" applyAlignment="1" applyProtection="1">
      <alignment horizontal="centerContinuous"/>
    </xf>
    <xf numFmtId="180" fontId="18" fillId="11" borderId="35" xfId="0" quotePrefix="1" applyFont="1" applyFill="1" applyBorder="1" applyAlignment="1" applyProtection="1">
      <alignment horizontal="center"/>
    </xf>
    <xf numFmtId="4" fontId="10" fillId="0" borderId="22" xfId="0" applyNumberFormat="1" applyFont="1" applyBorder="1" applyAlignment="1" applyProtection="1">
      <alignment horizontal="centerContinuous"/>
    </xf>
    <xf numFmtId="9" fontId="9" fillId="3" borderId="33" xfId="13" applyFont="1" applyFill="1" applyBorder="1" applyAlignment="1" applyProtection="1">
      <alignment horizontal="centerContinuous"/>
    </xf>
    <xf numFmtId="4" fontId="10" fillId="3" borderId="26" xfId="0" applyNumberFormat="1" applyFont="1" applyFill="1" applyBorder="1" applyAlignment="1" applyProtection="1">
      <alignment horizontal="centerContinuous"/>
    </xf>
    <xf numFmtId="180" fontId="9" fillId="6" borderId="0" xfId="0" applyFont="1" applyFill="1" applyProtection="1"/>
    <xf numFmtId="180" fontId="9" fillId="6" borderId="60" xfId="0" quotePrefix="1" applyFont="1" applyFill="1" applyBorder="1" applyAlignment="1" applyProtection="1">
      <alignment horizontal="left"/>
    </xf>
    <xf numFmtId="180" fontId="9" fillId="6" borderId="64" xfId="0" applyFont="1" applyFill="1" applyBorder="1" applyAlignment="1" applyProtection="1">
      <alignment horizontal="left"/>
    </xf>
    <xf numFmtId="180" fontId="9" fillId="6" borderId="64" xfId="0" applyFont="1" applyFill="1" applyBorder="1" applyProtection="1"/>
    <xf numFmtId="180" fontId="9" fillId="6" borderId="61" xfId="0" applyFont="1" applyFill="1" applyBorder="1" applyProtection="1"/>
    <xf numFmtId="4" fontId="10" fillId="6" borderId="0" xfId="0" quotePrefix="1" applyNumberFormat="1" applyFont="1" applyFill="1" applyAlignment="1" applyProtection="1">
      <alignment horizontal="right"/>
    </xf>
    <xf numFmtId="180" fontId="9" fillId="0" borderId="0" xfId="0" applyFont="1" applyAlignment="1" applyProtection="1">
      <alignment horizontal="right"/>
    </xf>
    <xf numFmtId="4" fontId="10" fillId="7" borderId="28" xfId="0" applyNumberFormat="1" applyFont="1" applyFill="1" applyBorder="1" applyAlignment="1" applyProtection="1">
      <alignment horizontal="left"/>
      <protection locked="0"/>
    </xf>
    <xf numFmtId="4" fontId="9" fillId="7" borderId="0" xfId="0" applyNumberFormat="1" applyFont="1" applyFill="1" applyAlignment="1" applyProtection="1">
      <alignment horizontal="left"/>
      <protection locked="0"/>
    </xf>
    <xf numFmtId="4" fontId="10" fillId="7" borderId="23" xfId="0" applyNumberFormat="1" applyFont="1" applyFill="1" applyBorder="1" applyAlignment="1" applyProtection="1">
      <alignment horizontal="left"/>
      <protection locked="0"/>
    </xf>
    <xf numFmtId="1" fontId="9" fillId="7" borderId="0" xfId="0" applyNumberFormat="1" applyFont="1" applyFill="1" applyAlignment="1" applyProtection="1">
      <alignment horizontal="left"/>
      <protection locked="0"/>
    </xf>
    <xf numFmtId="4" fontId="9" fillId="12" borderId="62" xfId="0" applyNumberFormat="1" applyFont="1" applyFill="1" applyBorder="1" applyAlignment="1" applyProtection="1">
      <alignment horizontal="right"/>
      <protection locked="0"/>
    </xf>
    <xf numFmtId="4" fontId="9" fillId="12" borderId="0" xfId="0" applyNumberFormat="1" applyFont="1" applyFill="1" applyBorder="1" applyAlignment="1" applyProtection="1">
      <alignment horizontal="right"/>
      <protection locked="0"/>
    </xf>
    <xf numFmtId="4" fontId="9" fillId="12" borderId="10" xfId="0" applyNumberFormat="1" applyFont="1" applyFill="1" applyBorder="1" applyAlignment="1" applyProtection="1">
      <alignment horizontal="right"/>
      <protection locked="0"/>
    </xf>
    <xf numFmtId="4" fontId="9" fillId="12" borderId="4" xfId="0" applyNumberFormat="1" applyFont="1" applyFill="1" applyBorder="1" applyAlignment="1" applyProtection="1">
      <alignment horizontal="right"/>
      <protection locked="0"/>
    </xf>
    <xf numFmtId="4" fontId="9" fillId="12" borderId="62" xfId="0" quotePrefix="1" applyNumberFormat="1" applyFont="1" applyFill="1" applyBorder="1" applyAlignment="1" applyProtection="1">
      <alignment horizontal="right"/>
      <protection locked="0"/>
    </xf>
    <xf numFmtId="4" fontId="9" fillId="12" borderId="65" xfId="0" applyNumberFormat="1" applyFont="1" applyFill="1" applyBorder="1" applyAlignment="1" applyProtection="1">
      <alignment horizontal="right"/>
      <protection locked="0"/>
    </xf>
    <xf numFmtId="4" fontId="9" fillId="12" borderId="43" xfId="0" applyNumberFormat="1" applyFont="1" applyFill="1" applyBorder="1" applyAlignment="1" applyProtection="1">
      <alignment horizontal="right"/>
      <protection locked="0"/>
    </xf>
    <xf numFmtId="3" fontId="9" fillId="12" borderId="28" xfId="0" applyNumberFormat="1" applyFont="1" applyFill="1" applyBorder="1" applyAlignment="1" applyProtection="1">
      <alignment horizontal="right"/>
      <protection locked="0"/>
    </xf>
    <xf numFmtId="3" fontId="9" fillId="12" borderId="0" xfId="0" applyNumberFormat="1" applyFont="1" applyFill="1" applyBorder="1" applyProtection="1">
      <protection locked="0"/>
    </xf>
    <xf numFmtId="4" fontId="9" fillId="12" borderId="0" xfId="0" applyNumberFormat="1" applyFont="1" applyFill="1" applyBorder="1" applyProtection="1">
      <protection locked="0"/>
    </xf>
    <xf numFmtId="4" fontId="9" fillId="12" borderId="20" xfId="0" applyNumberFormat="1" applyFont="1" applyFill="1" applyBorder="1" applyAlignment="1" applyProtection="1">
      <alignment horizontal="right"/>
      <protection locked="0"/>
    </xf>
    <xf numFmtId="4" fontId="9" fillId="12" borderId="21" xfId="0" applyNumberFormat="1" applyFont="1" applyFill="1" applyBorder="1" applyAlignment="1" applyProtection="1">
      <alignment horizontal="right"/>
      <protection locked="0"/>
    </xf>
    <xf numFmtId="4" fontId="9" fillId="12" borderId="30" xfId="0" applyNumberFormat="1" applyFont="1" applyFill="1" applyBorder="1" applyAlignment="1" applyProtection="1">
      <alignment horizontal="right"/>
      <protection locked="0"/>
    </xf>
    <xf numFmtId="4" fontId="9" fillId="12" borderId="47" xfId="0" applyNumberFormat="1" applyFont="1" applyFill="1" applyBorder="1" applyAlignment="1" applyProtection="1">
      <alignment horizontal="right"/>
      <protection locked="0"/>
    </xf>
    <xf numFmtId="4" fontId="9" fillId="12" borderId="18" xfId="0" applyNumberFormat="1" applyFont="1" applyFill="1" applyBorder="1" applyAlignment="1" applyProtection="1">
      <alignment horizontal="right"/>
      <protection locked="0"/>
    </xf>
    <xf numFmtId="4" fontId="9" fillId="12" borderId="31" xfId="0" applyNumberFormat="1" applyFont="1" applyFill="1" applyBorder="1" applyAlignment="1" applyProtection="1">
      <alignment horizontal="left"/>
      <protection locked="0"/>
    </xf>
    <xf numFmtId="4" fontId="9" fillId="12" borderId="3" xfId="0" applyNumberFormat="1" applyFont="1" applyFill="1" applyBorder="1" applyAlignment="1" applyProtection="1">
      <alignment horizontal="left"/>
      <protection locked="0"/>
    </xf>
    <xf numFmtId="4" fontId="9" fillId="12" borderId="32" xfId="0" applyNumberFormat="1" applyFont="1" applyFill="1" applyBorder="1" applyAlignment="1" applyProtection="1">
      <alignment horizontal="left"/>
      <protection locked="0"/>
    </xf>
    <xf numFmtId="3" fontId="9" fillId="12" borderId="18" xfId="0" applyNumberFormat="1" applyFont="1" applyFill="1" applyBorder="1" applyAlignment="1" applyProtection="1">
      <alignment horizontal="centerContinuous"/>
      <protection locked="0"/>
    </xf>
    <xf numFmtId="3" fontId="9" fillId="12" borderId="20" xfId="0" applyNumberFormat="1" applyFont="1" applyFill="1" applyBorder="1" applyAlignment="1" applyProtection="1">
      <alignment horizontal="centerContinuous"/>
      <protection locked="0"/>
    </xf>
    <xf numFmtId="3" fontId="9" fillId="12" borderId="21" xfId="0" applyNumberFormat="1" applyFont="1" applyFill="1" applyBorder="1" applyAlignment="1" applyProtection="1">
      <alignment horizontal="centerContinuous"/>
      <protection locked="0"/>
    </xf>
    <xf numFmtId="3" fontId="9" fillId="12" borderId="35" xfId="0" applyNumberFormat="1" applyFont="1" applyFill="1" applyBorder="1" applyProtection="1">
      <protection locked="0"/>
    </xf>
    <xf numFmtId="4" fontId="9" fillId="12" borderId="31" xfId="0" applyNumberFormat="1" applyFont="1" applyFill="1" applyBorder="1" applyAlignment="1" applyProtection="1">
      <alignment horizontal="right"/>
      <protection locked="0"/>
    </xf>
    <xf numFmtId="4" fontId="9" fillId="12" borderId="3" xfId="0" applyNumberFormat="1" applyFont="1" applyFill="1" applyBorder="1" applyAlignment="1" applyProtection="1">
      <alignment horizontal="right"/>
      <protection locked="0"/>
    </xf>
    <xf numFmtId="4" fontId="9" fillId="12" borderId="32" xfId="0" applyNumberFormat="1" applyFont="1" applyFill="1" applyBorder="1" applyAlignment="1" applyProtection="1">
      <alignment horizontal="right"/>
      <protection locked="0"/>
    </xf>
    <xf numFmtId="4" fontId="10" fillId="0" borderId="32" xfId="0" applyNumberFormat="1" applyFont="1" applyFill="1" applyBorder="1" applyAlignment="1" applyProtection="1">
      <alignment horizontal="centerContinuous"/>
    </xf>
    <xf numFmtId="3" fontId="9" fillId="12" borderId="18" xfId="0" applyNumberFormat="1" applyFont="1" applyFill="1" applyBorder="1" applyAlignment="1" applyProtection="1">
      <alignment horizontal="right"/>
      <protection locked="0"/>
    </xf>
    <xf numFmtId="3" fontId="9" fillId="12" borderId="20" xfId="0" applyNumberFormat="1" applyFont="1" applyFill="1" applyBorder="1" applyAlignment="1" applyProtection="1">
      <alignment horizontal="right"/>
      <protection locked="0"/>
    </xf>
    <xf numFmtId="3" fontId="9" fillId="12" borderId="21" xfId="0" applyNumberFormat="1" applyFont="1" applyFill="1" applyBorder="1" applyAlignment="1" applyProtection="1">
      <alignment horizontal="right"/>
      <protection locked="0"/>
    </xf>
    <xf numFmtId="3" fontId="9" fillId="12" borderId="31" xfId="0" applyNumberFormat="1" applyFont="1" applyFill="1" applyBorder="1" applyAlignment="1" applyProtection="1">
      <alignment horizontal="center"/>
      <protection locked="0"/>
    </xf>
    <xf numFmtId="3" fontId="9" fillId="12" borderId="3" xfId="0" applyNumberFormat="1" applyFont="1" applyFill="1" applyBorder="1" applyAlignment="1" applyProtection="1">
      <alignment horizontal="center"/>
      <protection locked="0"/>
    </xf>
    <xf numFmtId="3" fontId="9" fillId="12" borderId="32" xfId="0" applyNumberFormat="1" applyFont="1" applyFill="1" applyBorder="1" applyAlignment="1" applyProtection="1">
      <alignment horizontal="center"/>
      <protection locked="0"/>
    </xf>
    <xf numFmtId="4" fontId="9" fillId="12" borderId="3" xfId="0" quotePrefix="1" applyNumberFormat="1" applyFont="1" applyFill="1" applyBorder="1" applyAlignment="1" applyProtection="1">
      <alignment horizontal="right"/>
      <protection locked="0"/>
    </xf>
    <xf numFmtId="4" fontId="9" fillId="12" borderId="28" xfId="0" applyNumberFormat="1" applyFont="1" applyFill="1" applyBorder="1" applyProtection="1">
      <protection locked="0"/>
    </xf>
    <xf numFmtId="4" fontId="9" fillId="12" borderId="0" xfId="0" quotePrefix="1" applyNumberFormat="1" applyFont="1" applyFill="1" applyBorder="1" applyAlignment="1" applyProtection="1">
      <alignment horizontal="left"/>
      <protection locked="0"/>
    </xf>
    <xf numFmtId="4" fontId="9" fillId="12" borderId="23" xfId="0" quotePrefix="1" applyNumberFormat="1" applyFont="1" applyFill="1" applyBorder="1" applyAlignment="1" applyProtection="1">
      <alignment horizontal="left"/>
      <protection locked="0"/>
    </xf>
    <xf numFmtId="4" fontId="9" fillId="12" borderId="21" xfId="0" applyNumberFormat="1" applyFont="1" applyFill="1" applyBorder="1" applyAlignment="1" applyProtection="1">
      <alignment horizontal="centerContinuous"/>
      <protection locked="0"/>
    </xf>
    <xf numFmtId="4" fontId="9" fillId="12" borderId="31" xfId="0" quotePrefix="1" applyNumberFormat="1" applyFont="1" applyFill="1" applyBorder="1" applyAlignment="1" applyProtection="1">
      <alignment horizontal="right"/>
      <protection locked="0"/>
    </xf>
    <xf numFmtId="4" fontId="9" fillId="12" borderId="20" xfId="0" quotePrefix="1" applyNumberFormat="1" applyFont="1" applyFill="1" applyBorder="1" applyAlignment="1" applyProtection="1">
      <alignment horizontal="right"/>
      <protection locked="0"/>
    </xf>
    <xf numFmtId="4" fontId="9" fillId="12" borderId="53" xfId="0" quotePrefix="1" applyNumberFormat="1" applyFont="1" applyFill="1" applyBorder="1" applyAlignment="1" applyProtection="1">
      <alignment horizontal="right"/>
      <protection locked="0"/>
    </xf>
    <xf numFmtId="4" fontId="9" fillId="12" borderId="53" xfId="0" quotePrefix="1" applyNumberFormat="1" applyFont="1" applyFill="1" applyBorder="1" applyAlignment="1" applyProtection="1">
      <alignment horizontal="centerContinuous"/>
      <protection locked="0"/>
    </xf>
    <xf numFmtId="4" fontId="9" fillId="12" borderId="53" xfId="0" applyNumberFormat="1" applyFont="1" applyFill="1" applyBorder="1" applyAlignment="1" applyProtection="1">
      <alignment horizontal="right"/>
      <protection locked="0"/>
    </xf>
    <xf numFmtId="9" fontId="9" fillId="12" borderId="3" xfId="13" applyFont="1" applyFill="1" applyBorder="1" applyAlignment="1" applyProtection="1">
      <alignment horizontal="right"/>
      <protection locked="0"/>
    </xf>
    <xf numFmtId="9" fontId="9" fillId="12" borderId="32" xfId="13" applyFont="1" applyFill="1" applyBorder="1" applyAlignment="1" applyProtection="1">
      <alignment horizontal="right"/>
      <protection locked="0"/>
    </xf>
    <xf numFmtId="3" fontId="9" fillId="4" borderId="28" xfId="0" applyNumberFormat="1" applyFont="1" applyFill="1" applyBorder="1" applyAlignment="1" applyProtection="1">
      <alignment horizontal="right"/>
      <protection locked="0"/>
    </xf>
    <xf numFmtId="4" fontId="9" fillId="4" borderId="0" xfId="0" applyNumberFormat="1" applyFont="1" applyFill="1" applyAlignment="1" applyProtection="1">
      <alignment horizontal="right"/>
      <protection locked="0"/>
    </xf>
    <xf numFmtId="4" fontId="9" fillId="4" borderId="21" xfId="0" applyNumberFormat="1" applyFont="1" applyFill="1" applyBorder="1" applyAlignment="1" applyProtection="1">
      <alignment horizontal="right"/>
      <protection locked="0"/>
    </xf>
    <xf numFmtId="4" fontId="9" fillId="4" borderId="31" xfId="0" applyNumberFormat="1" applyFont="1" applyFill="1" applyBorder="1" applyAlignment="1" applyProtection="1">
      <alignment horizontal="left"/>
      <protection locked="0"/>
    </xf>
    <xf numFmtId="4" fontId="9" fillId="4" borderId="3" xfId="0" applyNumberFormat="1" applyFont="1" applyFill="1" applyBorder="1" applyAlignment="1" applyProtection="1">
      <alignment horizontal="left"/>
      <protection locked="0"/>
    </xf>
    <xf numFmtId="4" fontId="9" fillId="4" borderId="32" xfId="0" applyNumberFormat="1" applyFont="1" applyFill="1" applyBorder="1" applyAlignment="1" applyProtection="1">
      <alignment horizontal="left"/>
      <protection locked="0"/>
    </xf>
    <xf numFmtId="3" fontId="9" fillId="4" borderId="18" xfId="0" applyNumberFormat="1" applyFont="1" applyFill="1" applyBorder="1" applyAlignment="1" applyProtection="1">
      <alignment horizontal="centerContinuous"/>
      <protection locked="0"/>
    </xf>
    <xf numFmtId="3" fontId="9" fillId="4" borderId="20" xfId="0" applyNumberFormat="1" applyFont="1" applyFill="1" applyBorder="1" applyAlignment="1" applyProtection="1">
      <alignment horizontal="centerContinuous"/>
      <protection locked="0"/>
    </xf>
    <xf numFmtId="3" fontId="9" fillId="4" borderId="20" xfId="0" applyNumberFormat="1" applyFont="1" applyFill="1" applyBorder="1" applyAlignment="1" applyProtection="1">
      <alignment horizontal="right"/>
      <protection locked="0"/>
    </xf>
    <xf numFmtId="3" fontId="9" fillId="4" borderId="18" xfId="0" applyNumberFormat="1" applyFont="1" applyFill="1" applyBorder="1" applyAlignment="1" applyProtection="1">
      <alignment horizontal="right"/>
      <protection locked="0"/>
    </xf>
    <xf numFmtId="3" fontId="9" fillId="4" borderId="21" xfId="0" applyNumberFormat="1" applyFont="1" applyFill="1" applyBorder="1" applyAlignment="1" applyProtection="1">
      <alignment horizontal="centerContinuous"/>
      <protection locked="0"/>
    </xf>
    <xf numFmtId="4" fontId="9" fillId="4" borderId="28" xfId="0" applyNumberFormat="1" applyFont="1" applyFill="1" applyBorder="1" applyProtection="1">
      <protection locked="0"/>
    </xf>
    <xf numFmtId="4" fontId="9" fillId="4" borderId="0" xfId="0" quotePrefix="1" applyNumberFormat="1" applyFont="1" applyFill="1" applyBorder="1" applyAlignment="1" applyProtection="1">
      <alignment horizontal="left"/>
      <protection locked="0"/>
    </xf>
    <xf numFmtId="4" fontId="9" fillId="4" borderId="23" xfId="0" quotePrefix="1" applyNumberFormat="1" applyFont="1" applyFill="1" applyBorder="1" applyAlignment="1" applyProtection="1">
      <alignment horizontal="left"/>
      <protection locked="0"/>
    </xf>
    <xf numFmtId="3" fontId="9" fillId="4" borderId="21" xfId="0" applyNumberFormat="1" applyFont="1" applyFill="1" applyBorder="1" applyAlignment="1" applyProtection="1">
      <alignment horizontal="right"/>
      <protection locked="0"/>
    </xf>
    <xf numFmtId="4" fontId="9" fillId="4" borderId="20" xfId="0" applyNumberFormat="1" applyFont="1" applyFill="1" applyBorder="1" applyAlignment="1" applyProtection="1">
      <alignment horizontal="centerContinuous"/>
      <protection locked="0"/>
    </xf>
    <xf numFmtId="4" fontId="9" fillId="4" borderId="21" xfId="0" applyNumberFormat="1" applyFont="1" applyFill="1" applyBorder="1" applyAlignment="1" applyProtection="1">
      <alignment horizontal="centerContinuous"/>
      <protection locked="0"/>
    </xf>
    <xf numFmtId="4" fontId="9" fillId="0" borderId="24" xfId="0" quotePrefix="1" applyNumberFormat="1" applyFont="1" applyFill="1" applyBorder="1" applyAlignment="1" applyProtection="1">
      <alignment horizontal="centerContinuous"/>
    </xf>
    <xf numFmtId="4" fontId="9" fillId="4" borderId="3" xfId="13" applyNumberFormat="1" applyFont="1" applyFill="1" applyBorder="1" applyAlignment="1" applyProtection="1">
      <alignment horizontal="right"/>
      <protection locked="0"/>
    </xf>
    <xf numFmtId="3" fontId="9" fillId="4" borderId="28" xfId="0" quotePrefix="1" applyNumberFormat="1" applyFont="1" applyFill="1" applyBorder="1" applyAlignment="1" applyProtection="1">
      <alignment horizontal="centerContinuous"/>
      <protection locked="0"/>
    </xf>
    <xf numFmtId="3" fontId="9" fillId="4" borderId="0" xfId="0" quotePrefix="1" applyNumberFormat="1" applyFont="1" applyFill="1" applyBorder="1" applyAlignment="1" applyProtection="1">
      <alignment horizontal="centerContinuous"/>
      <protection locked="0"/>
    </xf>
    <xf numFmtId="4" fontId="9" fillId="4" borderId="20" xfId="0" quotePrefix="1" applyNumberFormat="1" applyFont="1" applyFill="1" applyBorder="1" applyAlignment="1" applyProtection="1">
      <alignment horizontal="centerContinuous"/>
      <protection locked="0"/>
    </xf>
    <xf numFmtId="3" fontId="9" fillId="4" borderId="0" xfId="0" applyNumberFormat="1" applyFont="1" applyFill="1" applyBorder="1" applyAlignment="1" applyProtection="1">
      <alignment horizontal="centerContinuous"/>
      <protection locked="0"/>
    </xf>
    <xf numFmtId="14" fontId="9" fillId="4" borderId="0" xfId="0" applyNumberFormat="1" applyFont="1" applyFill="1" applyAlignment="1" applyProtection="1">
      <alignment horizontal="left"/>
      <protection locked="0"/>
    </xf>
    <xf numFmtId="0" fontId="9" fillId="12" borderId="0" xfId="0" applyNumberFormat="1" applyFont="1" applyFill="1" applyBorder="1" applyAlignment="1" applyProtection="1">
      <alignment horizontal="left"/>
      <protection locked="0"/>
    </xf>
    <xf numFmtId="180" fontId="13" fillId="0" borderId="0" xfId="0" applyFont="1" applyFill="1" applyAlignment="1" applyProtection="1">
      <alignment horizontal="left"/>
    </xf>
    <xf numFmtId="180" fontId="10" fillId="8" borderId="5" xfId="0" applyFont="1" applyFill="1" applyBorder="1" applyAlignment="1" applyProtection="1">
      <alignment horizontal="left"/>
    </xf>
    <xf numFmtId="188" fontId="9" fillId="0" borderId="39" xfId="0" applyNumberFormat="1" applyFont="1" applyFill="1" applyBorder="1" applyProtection="1">
      <protection locked="0"/>
    </xf>
    <xf numFmtId="4" fontId="9" fillId="0" borderId="20" xfId="0" applyNumberFormat="1" applyFont="1" applyFill="1" applyBorder="1" applyAlignment="1" applyProtection="1">
      <alignment horizontal="centerContinuous"/>
      <protection locked="0"/>
    </xf>
    <xf numFmtId="4" fontId="9" fillId="0" borderId="3" xfId="0" applyNumberFormat="1" applyFont="1" applyFill="1" applyBorder="1" applyAlignment="1" applyProtection="1">
      <alignment horizontal="right"/>
    </xf>
    <xf numFmtId="4" fontId="9" fillId="0" borderId="15" xfId="0" applyNumberFormat="1" applyFont="1" applyFill="1" applyBorder="1" applyAlignment="1" applyProtection="1">
      <alignment horizontal="right"/>
    </xf>
    <xf numFmtId="180" fontId="39" fillId="0" borderId="0" xfId="0" applyFont="1" applyProtection="1"/>
    <xf numFmtId="9" fontId="9" fillId="12" borderId="3" xfId="13" applyFont="1" applyFill="1" applyBorder="1" applyAlignment="1" applyProtection="1">
      <alignment horizontal="centerContinuous"/>
    </xf>
    <xf numFmtId="9" fontId="9" fillId="4" borderId="3" xfId="13" applyFont="1" applyFill="1" applyBorder="1" applyAlignment="1" applyProtection="1">
      <alignment horizontal="centerContinuous"/>
    </xf>
    <xf numFmtId="9" fontId="9" fillId="12" borderId="3" xfId="13" applyFont="1" applyFill="1" applyBorder="1" applyAlignment="1" applyProtection="1">
      <alignment horizontal="center"/>
    </xf>
    <xf numFmtId="9" fontId="9" fillId="4" borderId="3" xfId="13" applyFont="1" applyFill="1" applyBorder="1" applyAlignment="1" applyProtection="1">
      <alignment horizontal="center"/>
    </xf>
    <xf numFmtId="4" fontId="12" fillId="0" borderId="0" xfId="0" applyNumberFormat="1" applyFont="1" applyAlignment="1" applyProtection="1">
      <alignment horizontal="right"/>
    </xf>
    <xf numFmtId="4" fontId="10" fillId="0" borderId="20" xfId="0" applyNumberFormat="1" applyFont="1" applyBorder="1" applyAlignment="1" applyProtection="1">
      <alignment horizontal="centerContinuous"/>
    </xf>
    <xf numFmtId="4" fontId="10" fillId="0" borderId="0" xfId="0" applyNumberFormat="1" applyFont="1" applyBorder="1" applyAlignment="1" applyProtection="1">
      <alignment horizontal="centerContinuous"/>
    </xf>
    <xf numFmtId="4" fontId="10" fillId="0" borderId="3" xfId="0" applyNumberFormat="1" applyFont="1" applyFill="1" applyBorder="1" applyAlignment="1" applyProtection="1">
      <alignment horizontal="centerContinuous"/>
    </xf>
    <xf numFmtId="4" fontId="10" fillId="0" borderId="15" xfId="0" applyNumberFormat="1" applyFont="1" applyBorder="1" applyAlignment="1" applyProtection="1">
      <alignment horizontal="center"/>
    </xf>
    <xf numFmtId="180" fontId="10" fillId="0" borderId="0" xfId="0" applyFont="1" applyBorder="1" applyAlignment="1" applyProtection="1">
      <alignment horizontal="centerContinuous"/>
    </xf>
    <xf numFmtId="180" fontId="10" fillId="11" borderId="39" xfId="0" applyFont="1" applyFill="1" applyBorder="1" applyProtection="1"/>
    <xf numFmtId="180" fontId="9" fillId="0" borderId="0" xfId="0" applyFont="1" applyAlignment="1" applyProtection="1">
      <alignment horizontal="left"/>
    </xf>
    <xf numFmtId="4" fontId="9" fillId="0" borderId="0" xfId="0" applyNumberFormat="1" applyFont="1" applyFill="1" applyBorder="1" applyAlignment="1" applyProtection="1">
      <alignment horizontal="centerContinuous"/>
    </xf>
    <xf numFmtId="4" fontId="9" fillId="0" borderId="23" xfId="0" applyNumberFormat="1" applyFont="1" applyBorder="1" applyAlignment="1" applyProtection="1">
      <alignment horizontal="centerContinuous"/>
    </xf>
    <xf numFmtId="186" fontId="9" fillId="0" borderId="28" xfId="0" applyNumberFormat="1" applyFont="1" applyBorder="1" applyAlignment="1" applyProtection="1">
      <alignment horizontal="centerContinuous"/>
    </xf>
    <xf numFmtId="186" fontId="9" fillId="0" borderId="0" xfId="0" applyNumberFormat="1" applyFont="1" applyBorder="1" applyAlignment="1" applyProtection="1">
      <alignment horizontal="centerContinuous"/>
    </xf>
    <xf numFmtId="186" fontId="9" fillId="0" borderId="0" xfId="0" applyNumberFormat="1" applyFont="1" applyFill="1" applyBorder="1" applyAlignment="1" applyProtection="1">
      <alignment horizontal="centerContinuous"/>
    </xf>
    <xf numFmtId="186" fontId="9" fillId="0" borderId="23" xfId="0" applyNumberFormat="1" applyFont="1" applyBorder="1" applyAlignment="1" applyProtection="1">
      <alignment horizontal="centerContinuous"/>
    </xf>
    <xf numFmtId="9" fontId="9" fillId="12" borderId="31" xfId="13" applyFont="1" applyFill="1" applyBorder="1" applyAlignment="1" applyProtection="1">
      <alignment horizontal="center"/>
    </xf>
    <xf numFmtId="9" fontId="9" fillId="4" borderId="31" xfId="13" applyFont="1" applyFill="1" applyBorder="1" applyAlignment="1" applyProtection="1">
      <alignment horizontal="center"/>
    </xf>
    <xf numFmtId="9" fontId="9" fillId="0" borderId="3" xfId="13" applyFont="1" applyFill="1" applyBorder="1" applyAlignment="1" applyProtection="1">
      <alignment horizontal="centerContinuous"/>
    </xf>
    <xf numFmtId="4" fontId="9" fillId="0" borderId="31" xfId="13" applyNumberFormat="1" applyFont="1" applyBorder="1" applyAlignment="1" applyProtection="1">
      <alignment horizontal="centerContinuous"/>
    </xf>
    <xf numFmtId="4" fontId="9" fillId="0" borderId="3" xfId="13" applyNumberFormat="1" applyFont="1" applyBorder="1" applyAlignment="1" applyProtection="1">
      <alignment horizontal="centerContinuous"/>
    </xf>
    <xf numFmtId="4" fontId="9" fillId="0" borderId="32" xfId="13" applyNumberFormat="1" applyFont="1" applyBorder="1" applyAlignment="1" applyProtection="1">
      <alignment horizontal="centerContinuous"/>
    </xf>
    <xf numFmtId="4" fontId="9" fillId="4" borderId="18" xfId="0" applyNumberFormat="1" applyFont="1" applyFill="1" applyBorder="1" applyAlignment="1" applyProtection="1">
      <alignment horizontal="centerContinuous"/>
      <protection locked="0"/>
    </xf>
    <xf numFmtId="4" fontId="12" fillId="0" borderId="0" xfId="0" applyNumberFormat="1" applyFont="1" applyFill="1" applyBorder="1" applyAlignment="1" applyProtection="1">
      <alignment horizontal="right"/>
      <protection hidden="1"/>
    </xf>
    <xf numFmtId="4" fontId="9" fillId="0" borderId="0" xfId="0" applyNumberFormat="1" applyFont="1" applyFill="1" applyBorder="1" applyProtection="1">
      <protection hidden="1"/>
    </xf>
    <xf numFmtId="4" fontId="12" fillId="0" borderId="0" xfId="0" applyNumberFormat="1" applyFont="1" applyFill="1" applyBorder="1" applyProtection="1">
      <protection hidden="1"/>
    </xf>
    <xf numFmtId="4" fontId="10" fillId="0" borderId="28" xfId="0" applyNumberFormat="1" applyFont="1" applyFill="1" applyBorder="1" applyAlignment="1" applyProtection="1"/>
    <xf numFmtId="4" fontId="10" fillId="0" borderId="28" xfId="0" applyNumberFormat="1" applyFont="1" applyBorder="1" applyAlignment="1" applyProtection="1"/>
    <xf numFmtId="4" fontId="9" fillId="0" borderId="19" xfId="0" applyNumberFormat="1" applyFont="1" applyBorder="1" applyAlignment="1" applyProtection="1"/>
    <xf numFmtId="14" fontId="9" fillId="0" borderId="0" xfId="0" applyNumberFormat="1" applyFont="1" applyFill="1" applyBorder="1" applyAlignment="1" applyProtection="1">
      <alignment horizontal="left"/>
      <protection hidden="1"/>
    </xf>
    <xf numFmtId="4" fontId="10" fillId="0" borderId="23" xfId="0" applyNumberFormat="1" applyFont="1" applyFill="1" applyBorder="1" applyAlignment="1" applyProtection="1">
      <alignment horizontal="left"/>
    </xf>
    <xf numFmtId="4" fontId="10" fillId="0" borderId="23" xfId="0" applyNumberFormat="1" applyFont="1" applyBorder="1" applyAlignment="1" applyProtection="1">
      <alignment horizontal="left"/>
    </xf>
    <xf numFmtId="4" fontId="9" fillId="0" borderId="22" xfId="0" applyNumberFormat="1" applyFont="1" applyBorder="1" applyAlignment="1" applyProtection="1">
      <alignment horizontal="left"/>
    </xf>
    <xf numFmtId="4" fontId="9" fillId="0" borderId="0" xfId="0" applyNumberFormat="1" applyFont="1" applyFill="1" applyAlignment="1" applyProtection="1">
      <alignment horizontal="left"/>
    </xf>
    <xf numFmtId="4" fontId="9" fillId="0" borderId="0" xfId="0" applyNumberFormat="1" applyFont="1" applyFill="1" applyBorder="1" applyProtection="1"/>
    <xf numFmtId="4" fontId="9" fillId="0" borderId="0" xfId="0" applyNumberFormat="1" applyFont="1" applyFill="1" applyBorder="1" applyAlignment="1" applyProtection="1">
      <alignment horizontal="left"/>
    </xf>
    <xf numFmtId="4" fontId="9" fillId="9" borderId="0" xfId="0" applyNumberFormat="1" applyFont="1" applyFill="1" applyAlignment="1" applyProtection="1">
      <alignment horizontal="left"/>
    </xf>
    <xf numFmtId="4" fontId="10" fillId="0" borderId="0" xfId="0" quotePrefix="1" applyNumberFormat="1" applyFont="1" applyAlignment="1" applyProtection="1">
      <alignment horizontal="right"/>
    </xf>
    <xf numFmtId="49" fontId="9" fillId="0" borderId="0" xfId="0" applyNumberFormat="1" applyFont="1" applyFill="1" applyAlignment="1" applyProtection="1">
      <alignment horizontal="left"/>
    </xf>
    <xf numFmtId="4" fontId="9" fillId="4" borderId="65" xfId="0" applyNumberFormat="1" applyFont="1" applyFill="1" applyBorder="1" applyProtection="1">
      <protection locked="0"/>
    </xf>
    <xf numFmtId="4" fontId="9" fillId="4" borderId="62" xfId="0" applyNumberFormat="1" applyFont="1" applyFill="1" applyBorder="1" applyProtection="1">
      <protection locked="0"/>
    </xf>
    <xf numFmtId="3" fontId="9" fillId="4" borderId="31" xfId="0" applyNumberFormat="1" applyFont="1" applyFill="1" applyBorder="1" applyAlignment="1" applyProtection="1">
      <alignment horizontal="center"/>
      <protection locked="0"/>
    </xf>
    <xf numFmtId="3" fontId="9" fillId="4" borderId="32" xfId="0" applyNumberFormat="1" applyFont="1" applyFill="1" applyBorder="1" applyAlignment="1" applyProtection="1">
      <alignment horizontal="center"/>
      <protection locked="0"/>
    </xf>
    <xf numFmtId="4" fontId="9" fillId="16" borderId="38" xfId="0" applyNumberFormat="1" applyFont="1" applyFill="1" applyBorder="1" applyAlignment="1" applyProtection="1">
      <alignment horizontal="right"/>
      <protection locked="0"/>
    </xf>
    <xf numFmtId="4" fontId="9" fillId="16" borderId="15" xfId="0" applyNumberFormat="1" applyFont="1" applyFill="1" applyBorder="1" applyAlignment="1" applyProtection="1">
      <alignment horizontal="right"/>
      <protection locked="0"/>
    </xf>
    <xf numFmtId="4" fontId="9" fillId="16" borderId="3" xfId="0" applyNumberFormat="1" applyFont="1" applyFill="1" applyBorder="1" applyAlignment="1" applyProtection="1">
      <alignment horizontal="right"/>
      <protection locked="0"/>
    </xf>
    <xf numFmtId="3" fontId="9" fillId="4" borderId="20" xfId="0" applyNumberFormat="1" applyFont="1" applyFill="1" applyBorder="1" applyProtection="1">
      <protection locked="0"/>
    </xf>
    <xf numFmtId="3" fontId="9" fillId="4" borderId="53" xfId="0" applyNumberFormat="1" applyFont="1" applyFill="1" applyBorder="1" applyProtection="1">
      <protection locked="0"/>
    </xf>
    <xf numFmtId="3" fontId="9" fillId="0" borderId="20" xfId="0" applyNumberFormat="1" applyFont="1" applyBorder="1" applyAlignment="1" applyProtection="1">
      <alignment horizontal="right"/>
      <protection locked="0"/>
    </xf>
    <xf numFmtId="3" fontId="9" fillId="0" borderId="53" xfId="0" applyNumberFormat="1" applyFont="1" applyBorder="1" applyAlignment="1" applyProtection="1">
      <alignment horizontal="right"/>
      <protection locked="0"/>
    </xf>
    <xf numFmtId="3" fontId="9" fillId="4" borderId="53" xfId="0" applyNumberFormat="1" applyFont="1" applyFill="1" applyBorder="1" applyAlignment="1" applyProtection="1">
      <alignment horizontal="right"/>
      <protection locked="0"/>
    </xf>
    <xf numFmtId="4" fontId="9" fillId="0" borderId="25" xfId="0" quotePrefix="1" applyNumberFormat="1" applyFont="1" applyBorder="1" applyAlignment="1" applyProtection="1">
      <alignment horizontal="centerContinuous"/>
    </xf>
    <xf numFmtId="4" fontId="9" fillId="7" borderId="25" xfId="0" applyNumberFormat="1" applyFont="1" applyFill="1" applyBorder="1" applyAlignment="1" applyProtection="1">
      <alignment horizontal="centerContinuous"/>
      <protection locked="0"/>
    </xf>
    <xf numFmtId="4" fontId="9" fillId="4" borderId="24" xfId="0" applyNumberFormat="1" applyFont="1" applyFill="1" applyBorder="1" applyAlignment="1" applyProtection="1">
      <alignment horizontal="centerContinuous"/>
      <protection locked="0"/>
    </xf>
    <xf numFmtId="4" fontId="9" fillId="7" borderId="20" xfId="0" applyNumberFormat="1" applyFont="1" applyFill="1" applyBorder="1" applyAlignment="1" applyProtection="1">
      <alignment horizontal="centerContinuous"/>
    </xf>
    <xf numFmtId="4" fontId="9" fillId="4" borderId="20" xfId="0" applyNumberFormat="1" applyFont="1" applyFill="1" applyBorder="1" applyAlignment="1" applyProtection="1">
      <alignment horizontal="centerContinuous"/>
    </xf>
    <xf numFmtId="180" fontId="9" fillId="0" borderId="37" xfId="0" quotePrefix="1" applyFont="1" applyBorder="1" applyProtection="1">
      <protection locked="0"/>
    </xf>
    <xf numFmtId="180" fontId="9" fillId="0" borderId="39" xfId="0" quotePrefix="1" applyFont="1" applyBorder="1" applyProtection="1">
      <protection locked="0"/>
    </xf>
    <xf numFmtId="180" fontId="9" fillId="0" borderId="40" xfId="0" quotePrefix="1" applyFont="1" applyBorder="1" applyProtection="1">
      <protection locked="0"/>
    </xf>
    <xf numFmtId="180" fontId="9" fillId="0" borderId="67" xfId="0" quotePrefix="1" applyFont="1" applyBorder="1" applyAlignment="1" applyProtection="1">
      <alignment horizontal="left"/>
      <protection locked="0"/>
    </xf>
    <xf numFmtId="4" fontId="9" fillId="12" borderId="14" xfId="0" applyNumberFormat="1" applyFont="1" applyFill="1" applyBorder="1" applyAlignment="1" applyProtection="1">
      <alignment horizontal="right"/>
      <protection locked="0"/>
    </xf>
    <xf numFmtId="4" fontId="9" fillId="4" borderId="14" xfId="0" applyNumberFormat="1" applyFont="1" applyFill="1" applyBorder="1" applyAlignment="1" applyProtection="1">
      <alignment horizontal="right"/>
      <protection locked="0"/>
    </xf>
    <xf numFmtId="180" fontId="40" fillId="0" borderId="37" xfId="0" applyFont="1" applyBorder="1" applyAlignment="1" applyProtection="1">
      <alignment horizontal="left"/>
    </xf>
    <xf numFmtId="180" fontId="40" fillId="0" borderId="39" xfId="0" applyFont="1" applyBorder="1" applyAlignment="1" applyProtection="1">
      <alignment horizontal="left"/>
    </xf>
    <xf numFmtId="4" fontId="9" fillId="0" borderId="16" xfId="6" applyNumberFormat="1" applyFont="1" applyFill="1" applyBorder="1" applyAlignment="1" applyProtection="1">
      <alignment horizontal="right"/>
    </xf>
    <xf numFmtId="180" fontId="40" fillId="0" borderId="69" xfId="0" applyFont="1" applyBorder="1" applyAlignment="1" applyProtection="1">
      <alignment horizontal="left"/>
    </xf>
    <xf numFmtId="4" fontId="9" fillId="0" borderId="34" xfId="0" applyNumberFormat="1" applyFont="1" applyFill="1" applyBorder="1" applyAlignment="1" applyProtection="1">
      <alignment horizontal="centerContinuous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" fontId="9" fillId="0" borderId="74" xfId="6" applyNumberFormat="1" applyFont="1" applyFill="1" applyBorder="1" applyAlignment="1" applyProtection="1">
      <alignment horizontal="right"/>
    </xf>
    <xf numFmtId="180" fontId="40" fillId="0" borderId="39" xfId="0" applyFont="1" applyBorder="1" applyAlignment="1" applyProtection="1">
      <alignment horizontal="left"/>
      <protection locked="0"/>
    </xf>
    <xf numFmtId="180" fontId="10" fillId="11" borderId="35" xfId="0" applyFont="1" applyFill="1" applyBorder="1" applyProtection="1"/>
    <xf numFmtId="3" fontId="9" fillId="0" borderId="20" xfId="0" applyNumberFormat="1" applyFont="1" applyFill="1" applyBorder="1" applyAlignment="1" applyProtection="1">
      <alignment horizontal="centerContinuous"/>
      <protection locked="0"/>
    </xf>
    <xf numFmtId="180" fontId="9" fillId="0" borderId="37" xfId="0" applyFont="1" applyFill="1" applyBorder="1" applyProtection="1"/>
    <xf numFmtId="180" fontId="9" fillId="0" borderId="39" xfId="0" applyFont="1" applyFill="1" applyBorder="1" applyProtection="1"/>
    <xf numFmtId="4" fontId="9" fillId="3" borderId="54" xfId="6" applyNumberFormat="1" applyFont="1" applyFill="1" applyBorder="1" applyAlignment="1" applyProtection="1">
      <alignment horizontal="right"/>
    </xf>
    <xf numFmtId="4" fontId="9" fillId="3" borderId="41" xfId="6" applyNumberFormat="1" applyFont="1" applyFill="1" applyBorder="1" applyAlignment="1" applyProtection="1">
      <alignment horizontal="right"/>
    </xf>
    <xf numFmtId="180" fontId="0" fillId="0" borderId="27" xfId="0" applyBorder="1"/>
    <xf numFmtId="180" fontId="9" fillId="0" borderId="39" xfId="0" applyFont="1" applyBorder="1" applyAlignment="1" applyProtection="1">
      <alignment horizontal="left"/>
    </xf>
    <xf numFmtId="180" fontId="10" fillId="0" borderId="18" xfId="0" applyFont="1" applyBorder="1" applyAlignment="1" applyProtection="1"/>
    <xf numFmtId="4" fontId="9" fillId="0" borderId="28" xfId="0" applyNumberFormat="1" applyFont="1" applyBorder="1" applyAlignment="1" applyProtection="1"/>
    <xf numFmtId="180" fontId="9" fillId="0" borderId="0" xfId="0" applyFont="1" applyBorder="1" applyAlignment="1" applyProtection="1"/>
    <xf numFmtId="180" fontId="10" fillId="0" borderId="21" xfId="0" applyFont="1" applyBorder="1" applyAlignment="1" applyProtection="1"/>
    <xf numFmtId="4" fontId="9" fillId="0" borderId="22" xfId="0" applyNumberFormat="1" applyFont="1" applyBorder="1" applyAlignment="1" applyProtection="1"/>
    <xf numFmtId="180" fontId="9" fillId="0" borderId="0" xfId="0" applyFont="1" applyBorder="1" applyAlignment="1" applyProtection="1">
      <alignment horizontal="right"/>
    </xf>
    <xf numFmtId="4" fontId="10" fillId="0" borderId="34" xfId="0" applyNumberFormat="1" applyFont="1" applyBorder="1" applyAlignment="1" applyProtection="1">
      <alignment horizontal="center"/>
    </xf>
    <xf numFmtId="180" fontId="13" fillId="0" borderId="0" xfId="0" applyFont="1" applyBorder="1" applyProtection="1"/>
    <xf numFmtId="180" fontId="9" fillId="0" borderId="0" xfId="0" applyFont="1" applyAlignment="1" applyProtection="1">
      <alignment horizontal="center"/>
    </xf>
    <xf numFmtId="180" fontId="10" fillId="0" borderId="18" xfId="0" applyFont="1" applyBorder="1" applyAlignment="1" applyProtection="1">
      <alignment horizontal="centerContinuous"/>
    </xf>
    <xf numFmtId="180" fontId="9" fillId="0" borderId="21" xfId="0" applyFont="1" applyBorder="1" applyAlignment="1" applyProtection="1">
      <alignment horizontal="centerContinuous"/>
    </xf>
    <xf numFmtId="4" fontId="10" fillId="0" borderId="23" xfId="0" quotePrefix="1" applyNumberFormat="1" applyFont="1" applyBorder="1" applyAlignment="1" applyProtection="1">
      <alignment horizontal="centerContinuous"/>
    </xf>
    <xf numFmtId="4" fontId="10" fillId="0" borderId="47" xfId="0" applyNumberFormat="1" applyFont="1" applyBorder="1" applyAlignment="1" applyProtection="1">
      <alignment horizontal="centerContinuous"/>
    </xf>
    <xf numFmtId="180" fontId="10" fillId="0" borderId="23" xfId="0" quotePrefix="1" applyFont="1" applyBorder="1" applyAlignment="1" applyProtection="1">
      <alignment horizontal="left"/>
    </xf>
    <xf numFmtId="4" fontId="10" fillId="0" borderId="23" xfId="0" quotePrefix="1" applyNumberFormat="1" applyFont="1" applyBorder="1" applyAlignment="1" applyProtection="1">
      <alignment horizontal="left"/>
    </xf>
    <xf numFmtId="180" fontId="9" fillId="0" borderId="18" xfId="0" applyFont="1" applyBorder="1" applyProtection="1"/>
    <xf numFmtId="180" fontId="9" fillId="0" borderId="31" xfId="0" applyFont="1" applyBorder="1" applyAlignment="1" applyProtection="1">
      <alignment horizontal="centerContinuous"/>
    </xf>
    <xf numFmtId="4" fontId="9" fillId="3" borderId="31" xfId="0" applyNumberFormat="1" applyFont="1" applyFill="1" applyBorder="1" applyAlignment="1" applyProtection="1">
      <alignment horizontal="centerContinuous"/>
    </xf>
    <xf numFmtId="180" fontId="9" fillId="0" borderId="20" xfId="0" applyFont="1" applyBorder="1" applyProtection="1"/>
    <xf numFmtId="180" fontId="9" fillId="0" borderId="3" xfId="0" applyFont="1" applyBorder="1" applyAlignment="1" applyProtection="1">
      <alignment horizontal="centerContinuous"/>
    </xf>
    <xf numFmtId="180" fontId="9" fillId="0" borderId="21" xfId="0" applyFont="1" applyBorder="1" applyProtection="1"/>
    <xf numFmtId="180" fontId="9" fillId="0" borderId="32" xfId="0" applyFont="1" applyBorder="1" applyAlignment="1" applyProtection="1">
      <alignment horizontal="centerContinuous"/>
    </xf>
    <xf numFmtId="4" fontId="9" fillId="3" borderId="32" xfId="0" applyNumberFormat="1" applyFont="1" applyFill="1" applyBorder="1" applyAlignment="1" applyProtection="1">
      <alignment horizontal="centerContinuous"/>
    </xf>
    <xf numFmtId="180" fontId="9" fillId="0" borderId="33" xfId="0" quotePrefix="1" applyFont="1" applyBorder="1" applyAlignment="1" applyProtection="1">
      <alignment horizontal="centerContinuous"/>
    </xf>
    <xf numFmtId="4" fontId="9" fillId="3" borderId="33" xfId="0" quotePrefix="1" applyNumberFormat="1" applyFont="1" applyFill="1" applyBorder="1" applyAlignment="1" applyProtection="1">
      <alignment horizontal="centerContinuous"/>
    </xf>
    <xf numFmtId="180" fontId="9" fillId="6" borderId="35" xfId="0" applyFont="1" applyFill="1" applyBorder="1" applyAlignment="1" applyProtection="1">
      <alignment horizontal="right"/>
    </xf>
    <xf numFmtId="180" fontId="9" fillId="0" borderId="18" xfId="0" quotePrefix="1" applyFont="1" applyBorder="1" applyAlignment="1" applyProtection="1">
      <alignment horizontal="left"/>
    </xf>
    <xf numFmtId="4" fontId="9" fillId="3" borderId="28" xfId="0" applyNumberFormat="1" applyFont="1" applyFill="1" applyBorder="1" applyProtection="1"/>
    <xf numFmtId="4" fontId="9" fillId="3" borderId="0" xfId="0" applyNumberFormat="1" applyFont="1" applyFill="1" applyBorder="1" applyProtection="1"/>
    <xf numFmtId="4" fontId="9" fillId="3" borderId="23" xfId="0" applyNumberFormat="1" applyFont="1" applyFill="1" applyBorder="1" applyProtection="1"/>
    <xf numFmtId="4" fontId="9" fillId="0" borderId="27" xfId="0" applyNumberFormat="1" applyFont="1" applyBorder="1" applyAlignment="1" applyProtection="1">
      <alignment horizontal="center"/>
    </xf>
    <xf numFmtId="4" fontId="9" fillId="0" borderId="0" xfId="0" quotePrefix="1" applyNumberFormat="1" applyFont="1" applyProtection="1"/>
    <xf numFmtId="2" fontId="10" fillId="3" borderId="0" xfId="0" applyNumberFormat="1" applyFont="1" applyFill="1" applyAlignment="1" applyProtection="1">
      <alignment horizontal="centerContinuous"/>
    </xf>
    <xf numFmtId="4" fontId="9" fillId="6" borderId="24" xfId="0" applyNumberFormat="1" applyFont="1" applyFill="1" applyBorder="1" applyProtection="1"/>
    <xf numFmtId="4" fontId="9" fillId="6" borderId="25" xfId="0" quotePrefix="1" applyNumberFormat="1" applyFont="1" applyFill="1" applyBorder="1" applyAlignment="1" applyProtection="1">
      <alignment horizontal="right"/>
    </xf>
    <xf numFmtId="4" fontId="9" fillId="6" borderId="26" xfId="0" applyNumberFormat="1" applyFont="1" applyFill="1" applyBorder="1" applyProtection="1"/>
    <xf numFmtId="4" fontId="9" fillId="0" borderId="0" xfId="0" applyNumberFormat="1" applyFont="1" applyAlignment="1" applyProtection="1"/>
    <xf numFmtId="4" fontId="9" fillId="0" borderId="0" xfId="0" quotePrefix="1" applyNumberFormat="1" applyFont="1" applyAlignment="1" applyProtection="1">
      <alignment horizontal="center"/>
    </xf>
    <xf numFmtId="4" fontId="9" fillId="6" borderId="25" xfId="0" applyNumberFormat="1" applyFont="1" applyFill="1" applyBorder="1" applyProtection="1"/>
    <xf numFmtId="180" fontId="9" fillId="6" borderId="25" xfId="0" applyFont="1" applyFill="1" applyBorder="1" applyAlignment="1" applyProtection="1">
      <alignment horizontal="right"/>
    </xf>
    <xf numFmtId="4" fontId="9" fillId="6" borderId="26" xfId="0" quotePrefix="1" applyNumberFormat="1" applyFont="1" applyFill="1" applyBorder="1" applyAlignment="1" applyProtection="1">
      <alignment horizontal="left"/>
    </xf>
    <xf numFmtId="180" fontId="9" fillId="0" borderId="0" xfId="0" applyFont="1" applyAlignment="1" applyProtection="1"/>
    <xf numFmtId="4" fontId="17" fillId="0" borderId="0" xfId="0" applyNumberFormat="1" applyFont="1" applyBorder="1" applyAlignment="1" applyProtection="1"/>
    <xf numFmtId="180" fontId="10" fillId="0" borderId="0" xfId="0" applyFont="1" applyAlignment="1" applyProtection="1">
      <alignment horizontal="centerContinuous"/>
    </xf>
    <xf numFmtId="180" fontId="10" fillId="0" borderId="48" xfId="0" applyFont="1" applyBorder="1" applyAlignment="1" applyProtection="1">
      <alignment horizontal="centerContinuous"/>
    </xf>
    <xf numFmtId="4" fontId="9" fillId="0" borderId="49" xfId="0" applyNumberFormat="1" applyFont="1" applyBorder="1" applyAlignment="1" applyProtection="1">
      <alignment horizontal="centerContinuous"/>
    </xf>
    <xf numFmtId="4" fontId="10" fillId="3" borderId="49" xfId="0" applyNumberFormat="1" applyFont="1" applyFill="1" applyBorder="1" applyAlignment="1" applyProtection="1">
      <alignment horizontal="centerContinuous"/>
    </xf>
    <xf numFmtId="180" fontId="10" fillId="3" borderId="49" xfId="0" applyFont="1" applyFill="1" applyBorder="1" applyAlignment="1" applyProtection="1">
      <alignment horizontal="centerContinuous"/>
    </xf>
    <xf numFmtId="4" fontId="9" fillId="3" borderId="50" xfId="0" applyNumberFormat="1" applyFont="1" applyFill="1" applyBorder="1" applyAlignment="1" applyProtection="1">
      <alignment horizontal="centerContinuous"/>
    </xf>
    <xf numFmtId="180" fontId="10" fillId="0" borderId="53" xfId="0" applyFont="1" applyBorder="1" applyProtection="1"/>
    <xf numFmtId="4" fontId="9" fillId="0" borderId="27" xfId="0" applyNumberFormat="1" applyFont="1" applyBorder="1" applyProtection="1"/>
    <xf numFmtId="4" fontId="10" fillId="0" borderId="13" xfId="0" applyNumberFormat="1" applyFont="1" applyBorder="1" applyAlignment="1" applyProtection="1">
      <alignment horizontal="centerContinuous" wrapText="1"/>
    </xf>
    <xf numFmtId="4" fontId="10" fillId="0" borderId="27" xfId="0" applyNumberFormat="1" applyFont="1" applyBorder="1" applyAlignment="1" applyProtection="1">
      <alignment horizontal="centerContinuous"/>
    </xf>
    <xf numFmtId="180" fontId="10" fillId="0" borderId="27" xfId="0" applyFont="1" applyBorder="1" applyAlignment="1" applyProtection="1">
      <alignment horizontal="centerContinuous"/>
    </xf>
    <xf numFmtId="4" fontId="10" fillId="0" borderId="68" xfId="0" applyNumberFormat="1" applyFont="1" applyBorder="1" applyAlignment="1" applyProtection="1">
      <alignment horizontal="centerContinuous"/>
    </xf>
    <xf numFmtId="4" fontId="9" fillId="3" borderId="27" xfId="0" applyNumberFormat="1" applyFont="1" applyFill="1" applyBorder="1" applyAlignment="1" applyProtection="1">
      <alignment horizontal="centerContinuous"/>
    </xf>
    <xf numFmtId="180" fontId="9" fillId="3" borderId="27" xfId="0" applyFont="1" applyFill="1" applyBorder="1" applyAlignment="1" applyProtection="1">
      <alignment horizontal="centerContinuous"/>
    </xf>
    <xf numFmtId="4" fontId="9" fillId="3" borderId="68" xfId="0" applyNumberFormat="1" applyFont="1" applyFill="1" applyBorder="1" applyAlignment="1" applyProtection="1">
      <alignment horizontal="centerContinuous"/>
    </xf>
    <xf numFmtId="180" fontId="10" fillId="0" borderId="20" xfId="0" quotePrefix="1" applyFont="1" applyBorder="1" applyAlignment="1" applyProtection="1">
      <alignment horizontal="left"/>
    </xf>
    <xf numFmtId="180" fontId="9" fillId="0" borderId="20" xfId="0" quotePrefix="1" applyFont="1" applyBorder="1" applyAlignment="1" applyProtection="1">
      <alignment horizontal="left"/>
    </xf>
    <xf numFmtId="180" fontId="9" fillId="3" borderId="0" xfId="0" applyFont="1" applyFill="1" applyBorder="1" applyAlignment="1" applyProtection="1">
      <alignment horizontal="centerContinuous"/>
    </xf>
    <xf numFmtId="180" fontId="9" fillId="0" borderId="53" xfId="0" quotePrefix="1" applyFont="1" applyBorder="1" applyAlignment="1" applyProtection="1">
      <alignment horizontal="left"/>
    </xf>
    <xf numFmtId="4" fontId="9" fillId="12" borderId="0" xfId="0" applyNumberFormat="1" applyFont="1" applyFill="1" applyBorder="1" applyAlignment="1" applyProtection="1">
      <alignment horizontal="centerContinuous"/>
      <protection locked="0"/>
    </xf>
    <xf numFmtId="3" fontId="9" fillId="12" borderId="10" xfId="0" applyNumberFormat="1" applyFont="1" applyFill="1" applyBorder="1" applyAlignment="1" applyProtection="1">
      <alignment horizontal="right"/>
      <protection locked="0"/>
    </xf>
    <xf numFmtId="4" fontId="9" fillId="4" borderId="0" xfId="0" applyNumberFormat="1" applyFont="1" applyFill="1" applyBorder="1" applyAlignment="1" applyProtection="1">
      <alignment horizontal="centerContinuous"/>
      <protection locked="0"/>
    </xf>
    <xf numFmtId="3" fontId="9" fillId="4" borderId="10" xfId="0" applyNumberFormat="1" applyFont="1" applyFill="1" applyBorder="1" applyAlignment="1" applyProtection="1">
      <alignment horizontal="right"/>
      <protection locked="0"/>
    </xf>
    <xf numFmtId="3" fontId="9" fillId="0" borderId="10" xfId="0" applyNumberFormat="1" applyFont="1" applyFill="1" applyBorder="1" applyAlignment="1" applyProtection="1">
      <alignment horizontal="right"/>
      <protection locked="0"/>
    </xf>
    <xf numFmtId="4" fontId="9" fillId="12" borderId="27" xfId="0" applyNumberFormat="1" applyFont="1" applyFill="1" applyBorder="1" applyAlignment="1" applyProtection="1">
      <alignment horizontal="centerContinuous"/>
      <protection locked="0"/>
    </xf>
    <xf numFmtId="4" fontId="9" fillId="0" borderId="27" xfId="0" applyNumberFormat="1" applyFont="1" applyBorder="1" applyAlignment="1" applyProtection="1">
      <alignment horizontal="centerContinuous"/>
    </xf>
    <xf numFmtId="3" fontId="9" fillId="12" borderId="9" xfId="0" applyNumberFormat="1" applyFont="1" applyFill="1" applyBorder="1" applyAlignment="1" applyProtection="1">
      <alignment horizontal="right"/>
      <protection locked="0"/>
    </xf>
    <xf numFmtId="4" fontId="9" fillId="4" borderId="53" xfId="0" applyNumberFormat="1" applyFont="1" applyFill="1" applyBorder="1" applyAlignment="1" applyProtection="1">
      <alignment horizontal="centerContinuous"/>
      <protection locked="0"/>
    </xf>
    <xf numFmtId="3" fontId="9" fillId="4" borderId="9" xfId="0" applyNumberFormat="1" applyFont="1" applyFill="1" applyBorder="1" applyAlignment="1" applyProtection="1">
      <alignment horizontal="right"/>
      <protection locked="0"/>
    </xf>
    <xf numFmtId="4" fontId="9" fillId="0" borderId="34" xfId="0" applyNumberFormat="1" applyFont="1" applyFill="1" applyBorder="1" applyAlignment="1" applyProtection="1">
      <alignment horizontal="centerContinuous"/>
    </xf>
    <xf numFmtId="3" fontId="9" fillId="0" borderId="8" xfId="0" applyNumberFormat="1" applyFont="1" applyFill="1" applyBorder="1" applyAlignment="1" applyProtection="1">
      <alignment horizontal="right"/>
      <protection locked="0"/>
    </xf>
    <xf numFmtId="4" fontId="9" fillId="12" borderId="18" xfId="0" applyNumberFormat="1" applyFont="1" applyFill="1" applyBorder="1" applyAlignment="1" applyProtection="1">
      <alignment horizontal="centerContinuous"/>
      <protection locked="0"/>
    </xf>
    <xf numFmtId="3" fontId="9" fillId="0" borderId="28" xfId="0" applyNumberFormat="1" applyFont="1" applyBorder="1" applyAlignment="1" applyProtection="1">
      <alignment horizontal="centerContinuous"/>
    </xf>
    <xf numFmtId="3" fontId="9" fillId="0" borderId="0" xfId="0" applyNumberFormat="1" applyFont="1" applyBorder="1" applyAlignment="1" applyProtection="1">
      <alignment horizontal="centerContinuous"/>
    </xf>
    <xf numFmtId="3" fontId="9" fillId="0" borderId="0" xfId="0" applyNumberFormat="1" applyFont="1" applyFill="1" applyBorder="1" applyAlignment="1" applyProtection="1">
      <alignment horizontal="centerContinuous"/>
    </xf>
    <xf numFmtId="3" fontId="9" fillId="0" borderId="23" xfId="0" applyNumberFormat="1" applyFont="1" applyBorder="1" applyAlignment="1" applyProtection="1">
      <alignment horizontal="centerContinuous"/>
    </xf>
    <xf numFmtId="3" fontId="9" fillId="3" borderId="25" xfId="0" applyNumberFormat="1" applyFont="1" applyFill="1" applyBorder="1" applyAlignment="1" applyProtection="1">
      <alignment horizontal="centerContinuous"/>
    </xf>
    <xf numFmtId="4" fontId="9" fillId="12" borderId="31" xfId="0" applyNumberFormat="1" applyFont="1" applyFill="1" applyBorder="1" applyAlignment="1" applyProtection="1">
      <alignment horizontal="centerContinuous"/>
      <protection locked="0"/>
    </xf>
    <xf numFmtId="4" fontId="9" fillId="12" borderId="3" xfId="0" applyNumberFormat="1" applyFont="1" applyFill="1" applyBorder="1" applyAlignment="1" applyProtection="1">
      <alignment horizontal="centerContinuous"/>
      <protection locked="0"/>
    </xf>
    <xf numFmtId="4" fontId="9" fillId="0" borderId="3" xfId="0" applyNumberFormat="1" applyFont="1" applyFill="1" applyBorder="1" applyAlignment="1" applyProtection="1">
      <alignment horizontal="centerContinuous"/>
      <protection locked="0"/>
    </xf>
    <xf numFmtId="4" fontId="9" fillId="12" borderId="32" xfId="0" applyNumberFormat="1" applyFont="1" applyFill="1" applyBorder="1" applyAlignment="1" applyProtection="1">
      <alignment horizontal="centerContinuous"/>
      <protection locked="0"/>
    </xf>
    <xf numFmtId="4" fontId="9" fillId="4" borderId="31" xfId="0" applyNumberFormat="1" applyFont="1" applyFill="1" applyBorder="1" applyAlignment="1" applyProtection="1">
      <alignment horizontal="centerContinuous"/>
      <protection locked="0"/>
    </xf>
    <xf numFmtId="4" fontId="9" fillId="4" borderId="3" xfId="0" applyNumberFormat="1" applyFont="1" applyFill="1" applyBorder="1" applyAlignment="1" applyProtection="1">
      <alignment horizontal="centerContinuous"/>
      <protection locked="0"/>
    </xf>
    <xf numFmtId="4" fontId="9" fillId="4" borderId="32" xfId="0" applyNumberFormat="1" applyFont="1" applyFill="1" applyBorder="1" applyAlignment="1" applyProtection="1">
      <alignment horizontal="centerContinuous"/>
      <protection locked="0"/>
    </xf>
    <xf numFmtId="4" fontId="9" fillId="14" borderId="0" xfId="0" applyNumberFormat="1" applyFont="1" applyFill="1" applyBorder="1" applyAlignment="1" applyProtection="1">
      <alignment horizontal="centerContinuous"/>
    </xf>
    <xf numFmtId="180" fontId="10" fillId="0" borderId="0" xfId="0" applyFont="1" applyFill="1" applyBorder="1" applyProtection="1"/>
    <xf numFmtId="4" fontId="9" fillId="0" borderId="0" xfId="0" quotePrefix="1" applyNumberFormat="1" applyFont="1" applyFill="1" applyBorder="1" applyAlignment="1" applyProtection="1">
      <alignment horizontal="center"/>
    </xf>
    <xf numFmtId="4" fontId="9" fillId="0" borderId="0" xfId="0" applyNumberFormat="1" applyFont="1" applyFill="1" applyProtection="1">
      <protection locked="0"/>
    </xf>
    <xf numFmtId="4" fontId="9" fillId="0" borderId="28" xfId="0" applyNumberFormat="1" applyFont="1" applyFill="1" applyBorder="1" applyAlignment="1" applyProtection="1"/>
    <xf numFmtId="4" fontId="9" fillId="0" borderId="23" xfId="0" applyNumberFormat="1" applyFont="1" applyFill="1" applyBorder="1" applyProtection="1"/>
    <xf numFmtId="4" fontId="9" fillId="0" borderId="28" xfId="0" applyNumberFormat="1" applyFont="1" applyFill="1" applyBorder="1" applyProtection="1"/>
    <xf numFmtId="4" fontId="9" fillId="0" borderId="0" xfId="0" quotePrefix="1" applyNumberFormat="1" applyFont="1" applyFill="1" applyBorder="1" applyAlignment="1" applyProtection="1">
      <alignment horizontal="left"/>
    </xf>
    <xf numFmtId="180" fontId="9" fillId="0" borderId="0" xfId="0" applyFont="1" applyFill="1" applyBorder="1" applyAlignment="1" applyProtection="1">
      <alignment horizontal="left"/>
    </xf>
    <xf numFmtId="4" fontId="9" fillId="0" borderId="32" xfId="0" applyNumberFormat="1" applyFont="1" applyFill="1" applyBorder="1" applyProtection="1"/>
    <xf numFmtId="206" fontId="9" fillId="12" borderId="0" xfId="6" applyNumberFormat="1" applyFont="1" applyFill="1" applyBorder="1" applyProtection="1">
      <protection locked="0"/>
    </xf>
    <xf numFmtId="206" fontId="9" fillId="4" borderId="0" xfId="6" applyNumberFormat="1" applyFont="1" applyFill="1" applyBorder="1" applyProtection="1">
      <protection locked="0"/>
    </xf>
    <xf numFmtId="206" fontId="9" fillId="4" borderId="0" xfId="0" applyNumberFormat="1" applyFont="1" applyFill="1" applyBorder="1" applyProtection="1">
      <protection locked="0"/>
    </xf>
    <xf numFmtId="206" fontId="9" fillId="12" borderId="0" xfId="0" applyNumberFormat="1" applyFont="1" applyFill="1" applyBorder="1" applyProtection="1">
      <protection locked="0"/>
    </xf>
    <xf numFmtId="3" fontId="9" fillId="12" borderId="23" xfId="0" applyNumberFormat="1" applyFont="1" applyFill="1" applyBorder="1" applyProtection="1">
      <protection locked="0"/>
    </xf>
    <xf numFmtId="3" fontId="9" fillId="4" borderId="23" xfId="0" applyNumberFormat="1" applyFont="1" applyFill="1" applyBorder="1" applyProtection="1">
      <protection locked="0"/>
    </xf>
    <xf numFmtId="3" fontId="9" fillId="0" borderId="10" xfId="0" applyNumberFormat="1" applyFont="1" applyBorder="1" applyProtection="1"/>
    <xf numFmtId="3" fontId="9" fillId="0" borderId="0" xfId="0" applyNumberFormat="1" applyFont="1" applyProtection="1"/>
    <xf numFmtId="3" fontId="10" fillId="0" borderId="25" xfId="0" applyNumberFormat="1" applyFont="1" applyBorder="1" applyAlignment="1" applyProtection="1">
      <alignment horizontal="centerContinuous"/>
    </xf>
    <xf numFmtId="3" fontId="10" fillId="0" borderId="29" xfId="0" applyNumberFormat="1" applyFont="1" applyBorder="1" applyAlignment="1" applyProtection="1">
      <alignment horizontal="center"/>
    </xf>
    <xf numFmtId="3" fontId="10" fillId="0" borderId="30" xfId="0" quotePrefix="1" applyNumberFormat="1" applyFont="1" applyBorder="1" applyAlignment="1" applyProtection="1">
      <alignment horizontal="center"/>
    </xf>
    <xf numFmtId="3" fontId="9" fillId="0" borderId="29" xfId="0" applyNumberFormat="1" applyFont="1" applyBorder="1" applyProtection="1"/>
    <xf numFmtId="206" fontId="9" fillId="4" borderId="20" xfId="0" applyNumberFormat="1" applyFont="1" applyFill="1" applyBorder="1" applyProtection="1">
      <protection locked="0"/>
    </xf>
    <xf numFmtId="206" fontId="9" fillId="0" borderId="20" xfId="0" applyNumberFormat="1" applyFont="1" applyFill="1" applyBorder="1" applyProtection="1">
      <protection locked="0"/>
    </xf>
    <xf numFmtId="206" fontId="9" fillId="0" borderId="72" xfId="0" applyNumberFormat="1" applyFont="1" applyFill="1" applyBorder="1" applyProtection="1"/>
    <xf numFmtId="206" fontId="9" fillId="0" borderId="20" xfId="0" applyNumberFormat="1" applyFont="1" applyFill="1" applyBorder="1" applyProtection="1"/>
    <xf numFmtId="206" fontId="9" fillId="0" borderId="57" xfId="0" applyNumberFormat="1" applyFont="1" applyFill="1" applyBorder="1" applyProtection="1"/>
    <xf numFmtId="206" fontId="9" fillId="3" borderId="24" xfId="0" applyNumberFormat="1" applyFont="1" applyFill="1" applyBorder="1" applyProtection="1"/>
    <xf numFmtId="206" fontId="9" fillId="12" borderId="20" xfId="0" applyNumberFormat="1" applyFont="1" applyFill="1" applyBorder="1" applyProtection="1">
      <protection locked="0"/>
    </xf>
    <xf numFmtId="206" fontId="9" fillId="0" borderId="72" xfId="0" applyNumberFormat="1" applyFont="1" applyFill="1" applyBorder="1" applyProtection="1">
      <protection locked="0"/>
    </xf>
    <xf numFmtId="4" fontId="9" fillId="0" borderId="28" xfId="0" applyNumberFormat="1" applyFont="1" applyFill="1" applyBorder="1" applyAlignment="1" applyProtection="1">
      <alignment horizontal="centerContinuous"/>
    </xf>
    <xf numFmtId="4" fontId="9" fillId="0" borderId="3" xfId="0" applyNumberFormat="1" applyFont="1" applyBorder="1" applyAlignment="1" applyProtection="1">
      <alignment horizontal="centerContinuous"/>
    </xf>
    <xf numFmtId="180" fontId="9" fillId="0" borderId="28" xfId="0" applyFont="1" applyBorder="1" applyAlignment="1" applyProtection="1">
      <alignment horizontal="centerContinuous"/>
    </xf>
    <xf numFmtId="180" fontId="9" fillId="0" borderId="23" xfId="0" applyFont="1" applyBorder="1" applyAlignment="1" applyProtection="1">
      <alignment horizontal="centerContinuous"/>
    </xf>
    <xf numFmtId="4" fontId="9" fillId="0" borderId="15" xfId="0" applyNumberFormat="1" applyFont="1" applyBorder="1" applyAlignment="1" applyProtection="1">
      <alignment horizontal="center"/>
    </xf>
    <xf numFmtId="4" fontId="9" fillId="0" borderId="41" xfId="0" quotePrefix="1" applyNumberFormat="1" applyFont="1" applyBorder="1" applyAlignment="1" applyProtection="1">
      <alignment horizontal="center"/>
    </xf>
    <xf numFmtId="3" fontId="9" fillId="3" borderId="24" xfId="0" applyNumberFormat="1" applyFont="1" applyFill="1" applyBorder="1" applyAlignment="1" applyProtection="1">
      <alignment horizontal="centerContinuous"/>
    </xf>
    <xf numFmtId="4" fontId="9" fillId="0" borderId="63" xfId="0" applyNumberFormat="1" applyFont="1" applyBorder="1" applyAlignment="1" applyProtection="1">
      <alignment horizontal="centerContinuous"/>
    </xf>
    <xf numFmtId="4" fontId="9" fillId="0" borderId="4" xfId="0" applyNumberFormat="1" applyFont="1" applyBorder="1" applyAlignment="1" applyProtection="1">
      <alignment horizontal="centerContinuous"/>
    </xf>
    <xf numFmtId="4" fontId="9" fillId="0" borderId="47" xfId="0" applyNumberFormat="1" applyFont="1" applyBorder="1" applyProtection="1"/>
    <xf numFmtId="4" fontId="9" fillId="0" borderId="47" xfId="0" applyNumberFormat="1" applyFont="1" applyBorder="1" applyAlignment="1" applyProtection="1">
      <alignment horizontal="centerContinuous"/>
    </xf>
    <xf numFmtId="4" fontId="9" fillId="0" borderId="28" xfId="0" applyNumberFormat="1" applyFont="1" applyBorder="1" applyAlignment="1" applyProtection="1">
      <alignment horizontal="right"/>
    </xf>
    <xf numFmtId="4" fontId="9" fillId="0" borderId="23" xfId="0" applyNumberFormat="1" applyFont="1" applyBorder="1" applyAlignment="1" applyProtection="1">
      <alignment horizontal="right"/>
    </xf>
    <xf numFmtId="3" fontId="9" fillId="7" borderId="18" xfId="0" applyNumberFormat="1" applyFont="1" applyFill="1" applyBorder="1" applyAlignment="1" applyProtection="1">
      <alignment horizontal="centerContinuous"/>
      <protection locked="0"/>
    </xf>
    <xf numFmtId="3" fontId="9" fillId="7" borderId="20" xfId="0" applyNumberFormat="1" applyFont="1" applyFill="1" applyBorder="1" applyAlignment="1" applyProtection="1">
      <alignment horizontal="centerContinuous"/>
      <protection locked="0"/>
    </xf>
    <xf numFmtId="3" fontId="9" fillId="7" borderId="21" xfId="0" applyNumberFormat="1" applyFont="1" applyFill="1" applyBorder="1" applyAlignment="1" applyProtection="1">
      <alignment horizontal="centerContinuous"/>
      <protection locked="0"/>
    </xf>
    <xf numFmtId="180" fontId="9" fillId="0" borderId="16" xfId="0" applyFont="1" applyBorder="1" applyAlignment="1" applyProtection="1">
      <alignment horizontal="centerContinuous"/>
    </xf>
    <xf numFmtId="180" fontId="9" fillId="0" borderId="22" xfId="0" applyFont="1" applyBorder="1" applyAlignment="1" applyProtection="1">
      <alignment horizontal="centerContinuous"/>
    </xf>
    <xf numFmtId="4" fontId="9" fillId="0" borderId="68" xfId="0" applyNumberFormat="1" applyFont="1" applyBorder="1" applyAlignment="1" applyProtection="1">
      <alignment horizontal="centerContinuous"/>
    </xf>
    <xf numFmtId="4" fontId="9" fillId="0" borderId="27" xfId="0" applyNumberFormat="1" applyFont="1" applyBorder="1" applyAlignment="1" applyProtection="1">
      <alignment horizontal="right"/>
    </xf>
    <xf numFmtId="4" fontId="9" fillId="4" borderId="16" xfId="8" applyNumberFormat="1" applyFont="1" applyFill="1" applyBorder="1" applyAlignment="1" applyProtection="1">
      <alignment horizontal="right"/>
      <protection locked="0"/>
    </xf>
    <xf numFmtId="4" fontId="9" fillId="12" borderId="16" xfId="8" applyNumberFormat="1" applyFont="1" applyFill="1" applyBorder="1" applyAlignment="1" applyProtection="1">
      <alignment horizontal="right"/>
      <protection locked="0"/>
    </xf>
    <xf numFmtId="9" fontId="9" fillId="3" borderId="3" xfId="13" applyFont="1" applyFill="1" applyBorder="1" applyAlignment="1" applyProtection="1">
      <alignment horizontal="right"/>
    </xf>
    <xf numFmtId="9" fontId="9" fillId="3" borderId="32" xfId="13" applyFont="1" applyFill="1" applyBorder="1" applyAlignment="1" applyProtection="1">
      <alignment horizontal="right"/>
    </xf>
    <xf numFmtId="180" fontId="10" fillId="8" borderId="24" xfId="0" applyFont="1" applyFill="1" applyBorder="1" applyAlignment="1" applyProtection="1">
      <protection locked="0"/>
    </xf>
    <xf numFmtId="4" fontId="9" fillId="0" borderId="0" xfId="0" applyNumberFormat="1" applyFont="1" applyBorder="1" applyAlignment="1" applyProtection="1">
      <alignment horizontal="left"/>
    </xf>
    <xf numFmtId="4" fontId="9" fillId="0" borderId="0" xfId="0" applyNumberFormat="1" applyFont="1" applyAlignment="1" applyProtection="1">
      <alignment horizontal="left"/>
    </xf>
    <xf numFmtId="180" fontId="9" fillId="0" borderId="0" xfId="0" applyFont="1" applyAlignment="1" applyProtection="1">
      <alignment horizontal="center"/>
    </xf>
    <xf numFmtId="185" fontId="9" fillId="0" borderId="0" xfId="0" applyNumberFormat="1" applyFont="1" applyAlignment="1" applyProtection="1">
      <alignment horizontal="left"/>
    </xf>
    <xf numFmtId="180" fontId="9" fillId="0" borderId="0" xfId="0" applyFont="1" applyAlignment="1" applyProtection="1">
      <alignment horizontal="center"/>
      <protection locked="0"/>
    </xf>
    <xf numFmtId="180" fontId="9" fillId="0" borderId="0" xfId="0" applyFont="1" applyBorder="1" applyAlignment="1" applyProtection="1">
      <alignment horizontal="left"/>
    </xf>
    <xf numFmtId="4" fontId="10" fillId="0" borderId="3" xfId="0" applyNumberFormat="1" applyFont="1" applyBorder="1" applyAlignment="1" applyProtection="1">
      <alignment horizontal="center"/>
    </xf>
    <xf numFmtId="4" fontId="10" fillId="0" borderId="16" xfId="0" applyNumberFormat="1" applyFont="1" applyBorder="1" applyAlignment="1" applyProtection="1">
      <alignment horizontal="center"/>
    </xf>
    <xf numFmtId="180" fontId="9" fillId="0" borderId="3" xfId="0" applyFont="1" applyBorder="1" applyAlignment="1" applyProtection="1">
      <alignment horizontal="center"/>
      <protection locked="0"/>
    </xf>
    <xf numFmtId="180" fontId="9" fillId="0" borderId="16" xfId="0" applyFont="1" applyBorder="1" applyAlignment="1" applyProtection="1">
      <alignment horizontal="center"/>
      <protection locked="0"/>
    </xf>
    <xf numFmtId="14" fontId="9" fillId="0" borderId="0" xfId="0" applyNumberFormat="1" applyFont="1" applyAlignment="1" applyProtection="1">
      <alignment horizontal="left"/>
    </xf>
    <xf numFmtId="4" fontId="9" fillId="3" borderId="24" xfId="0" applyNumberFormat="1" applyFont="1" applyFill="1" applyBorder="1" applyAlignment="1" applyProtection="1">
      <alignment horizontal="center"/>
    </xf>
    <xf numFmtId="4" fontId="9" fillId="3" borderId="75" xfId="0" applyNumberFormat="1" applyFont="1" applyFill="1" applyBorder="1" applyAlignment="1" applyProtection="1">
      <alignment horizontal="center"/>
    </xf>
    <xf numFmtId="4" fontId="9" fillId="0" borderId="24" xfId="0" quotePrefix="1" applyNumberFormat="1" applyFont="1" applyBorder="1" applyAlignment="1" applyProtection="1">
      <alignment horizontal="center"/>
    </xf>
    <xf numFmtId="4" fontId="9" fillId="0" borderId="75" xfId="0" quotePrefix="1" applyNumberFormat="1" applyFont="1" applyBorder="1" applyAlignment="1" applyProtection="1">
      <alignment horizontal="center"/>
    </xf>
    <xf numFmtId="3" fontId="9" fillId="4" borderId="24" xfId="0" applyNumberFormat="1" applyFont="1" applyFill="1" applyBorder="1" applyAlignment="1" applyProtection="1">
      <alignment horizontal="center"/>
      <protection locked="0"/>
    </xf>
    <xf numFmtId="3" fontId="9" fillId="4" borderId="26" xfId="0" applyNumberFormat="1" applyFont="1" applyFill="1" applyBorder="1" applyAlignment="1" applyProtection="1">
      <alignment horizontal="center"/>
      <protection locked="0"/>
    </xf>
    <xf numFmtId="186" fontId="10" fillId="3" borderId="5" xfId="0" applyNumberFormat="1" applyFont="1" applyFill="1" applyBorder="1" applyAlignment="1" applyProtection="1">
      <alignment horizontal="left"/>
      <protection hidden="1"/>
    </xf>
    <xf numFmtId="186" fontId="10" fillId="3" borderId="6" xfId="0" applyNumberFormat="1" applyFont="1" applyFill="1" applyBorder="1" applyAlignment="1" applyProtection="1">
      <alignment horizontal="left"/>
      <protection hidden="1"/>
    </xf>
    <xf numFmtId="186" fontId="10" fillId="3" borderId="5" xfId="0" applyNumberFormat="1" applyFont="1" applyFill="1" applyBorder="1" applyAlignment="1" applyProtection="1">
      <alignment horizontal="left"/>
    </xf>
    <xf numFmtId="186" fontId="10" fillId="3" borderId="6" xfId="0" applyNumberFormat="1" applyFont="1" applyFill="1" applyBorder="1" applyAlignment="1" applyProtection="1">
      <alignment horizontal="left"/>
    </xf>
    <xf numFmtId="10" fontId="10" fillId="3" borderId="5" xfId="0" applyNumberFormat="1" applyFont="1" applyFill="1" applyBorder="1" applyAlignment="1" applyProtection="1">
      <alignment horizontal="left"/>
    </xf>
    <xf numFmtId="10" fontId="10" fillId="3" borderId="6" xfId="0" applyNumberFormat="1" applyFont="1" applyFill="1" applyBorder="1" applyAlignment="1" applyProtection="1">
      <alignment horizontal="left"/>
    </xf>
    <xf numFmtId="10" fontId="10" fillId="3" borderId="5" xfId="0" applyNumberFormat="1" applyFont="1" applyFill="1" applyBorder="1" applyAlignment="1" applyProtection="1">
      <alignment horizontal="left"/>
      <protection hidden="1"/>
    </xf>
    <xf numFmtId="10" fontId="10" fillId="3" borderId="6" xfId="0" applyNumberFormat="1" applyFont="1" applyFill="1" applyBorder="1" applyAlignment="1" applyProtection="1">
      <alignment horizontal="left"/>
      <protection hidden="1"/>
    </xf>
    <xf numFmtId="180" fontId="9" fillId="7" borderId="0" xfId="0" applyFont="1" applyFill="1" applyAlignment="1" applyProtection="1">
      <alignment horizontal="left"/>
      <protection locked="0"/>
    </xf>
    <xf numFmtId="180" fontId="10" fillId="8" borderId="25" xfId="0" applyFont="1" applyFill="1" applyBorder="1" applyAlignment="1" applyProtection="1">
      <alignment horizontal="center"/>
      <protection locked="0"/>
    </xf>
    <xf numFmtId="180" fontId="10" fillId="8" borderId="26" xfId="0" applyFont="1" applyFill="1" applyBorder="1" applyAlignment="1" applyProtection="1">
      <alignment horizontal="center"/>
      <protection locked="0"/>
    </xf>
    <xf numFmtId="185" fontId="9" fillId="0" borderId="0" xfId="0" applyNumberFormat="1" applyFont="1" applyAlignment="1" applyProtection="1">
      <alignment horizontal="left"/>
      <protection locked="0"/>
    </xf>
    <xf numFmtId="14" fontId="9" fillId="0" borderId="0" xfId="0" applyNumberFormat="1" applyFont="1" applyBorder="1" applyAlignment="1" applyProtection="1">
      <alignment horizontal="left"/>
    </xf>
    <xf numFmtId="2" fontId="10" fillId="3" borderId="25" xfId="0" applyNumberFormat="1" applyFont="1" applyFill="1" applyBorder="1" applyAlignment="1" applyProtection="1">
      <alignment horizontal="center"/>
    </xf>
    <xf numFmtId="2" fontId="10" fillId="3" borderId="26" xfId="0" applyNumberFormat="1" applyFont="1" applyFill="1" applyBorder="1" applyAlignment="1" applyProtection="1">
      <alignment horizontal="center"/>
    </xf>
    <xf numFmtId="180" fontId="9" fillId="0" borderId="0" xfId="0" applyFont="1" applyAlignment="1" applyProtection="1">
      <alignment horizontal="left"/>
    </xf>
    <xf numFmtId="4" fontId="18" fillId="11" borderId="24" xfId="0" applyNumberFormat="1" applyFont="1" applyFill="1" applyBorder="1" applyAlignment="1" applyProtection="1">
      <alignment horizontal="center"/>
    </xf>
    <xf numFmtId="4" fontId="18" fillId="11" borderId="25" xfId="0" applyNumberFormat="1" applyFont="1" applyFill="1" applyBorder="1" applyAlignment="1" applyProtection="1">
      <alignment horizontal="center"/>
    </xf>
    <xf numFmtId="4" fontId="18" fillId="11" borderId="26" xfId="0" applyNumberFormat="1" applyFont="1" applyFill="1" applyBorder="1" applyAlignment="1" applyProtection="1">
      <alignment horizontal="center"/>
    </xf>
    <xf numFmtId="3" fontId="9" fillId="3" borderId="24" xfId="0" applyNumberFormat="1" applyFont="1" applyFill="1" applyBorder="1" applyAlignment="1" applyProtection="1">
      <alignment horizontal="center"/>
    </xf>
    <xf numFmtId="3" fontId="9" fillId="3" borderId="75" xfId="0" applyNumberFormat="1" applyFont="1" applyFill="1" applyBorder="1" applyAlignment="1" applyProtection="1">
      <alignment horizontal="center"/>
    </xf>
    <xf numFmtId="14" fontId="9" fillId="0" borderId="0" xfId="0" applyNumberFormat="1" applyFont="1" applyFill="1" applyAlignment="1" applyProtection="1">
      <alignment horizontal="left"/>
    </xf>
    <xf numFmtId="4" fontId="9" fillId="0" borderId="3" xfId="0" applyNumberFormat="1" applyFont="1" applyBorder="1" applyAlignment="1" applyProtection="1">
      <alignment horizontal="center"/>
      <protection locked="0"/>
    </xf>
    <xf numFmtId="4" fontId="9" fillId="0" borderId="16" xfId="0" applyNumberFormat="1" applyFont="1" applyBorder="1" applyAlignment="1" applyProtection="1">
      <alignment horizontal="center"/>
      <protection locked="0"/>
    </xf>
    <xf numFmtId="180" fontId="7" fillId="2" borderId="5" xfId="0" applyFont="1" applyFill="1" applyBorder="1" applyAlignment="1">
      <alignment horizontal="center"/>
    </xf>
    <xf numFmtId="180" fontId="7" fillId="2" borderId="43" xfId="0" applyFont="1" applyFill="1" applyBorder="1" applyAlignment="1">
      <alignment horizontal="center"/>
    </xf>
    <xf numFmtId="180" fontId="7" fillId="2" borderId="6" xfId="0" applyFont="1" applyFill="1" applyBorder="1" applyAlignment="1">
      <alignment horizontal="center"/>
    </xf>
    <xf numFmtId="0" fontId="7" fillId="4" borderId="0" xfId="9" applyFont="1" applyFill="1" applyAlignment="1">
      <alignment horizontal="center"/>
    </xf>
    <xf numFmtId="0" fontId="7" fillId="0" borderId="0" xfId="9" applyFont="1" applyAlignment="1">
      <alignment horizontal="left"/>
    </xf>
    <xf numFmtId="14" fontId="7" fillId="4" borderId="0" xfId="9" applyNumberFormat="1" applyFont="1" applyFill="1" applyAlignment="1">
      <alignment horizontal="left"/>
    </xf>
    <xf numFmtId="14" fontId="7" fillId="0" borderId="0" xfId="0" applyNumberFormat="1" applyFont="1" applyAlignment="1"/>
    <xf numFmtId="200" fontId="7" fillId="4" borderId="0" xfId="9" applyNumberFormat="1" applyFont="1" applyFill="1" applyAlignment="1">
      <alignment horizontal="center"/>
    </xf>
    <xf numFmtId="0" fontId="26" fillId="0" borderId="0" xfId="9" applyNumberFormat="1" applyFont="1" applyAlignment="1">
      <alignment horizontal="center"/>
    </xf>
    <xf numFmtId="0" fontId="27" fillId="7" borderId="0" xfId="9" applyFont="1" applyFill="1" applyAlignment="1"/>
    <xf numFmtId="180" fontId="7" fillId="7" borderId="0" xfId="0" applyFont="1" applyFill="1" applyAlignment="1">
      <alignment vertical="top" wrapText="1"/>
    </xf>
    <xf numFmtId="180" fontId="7" fillId="7" borderId="0" xfId="0" applyFont="1" applyFill="1" applyAlignment="1">
      <alignment vertical="top"/>
    </xf>
    <xf numFmtId="0" fontId="7" fillId="0" borderId="0" xfId="9" applyFont="1" applyAlignment="1">
      <alignment horizontal="right"/>
    </xf>
    <xf numFmtId="192" fontId="7" fillId="0" borderId="0" xfId="9" applyNumberFormat="1" applyFont="1" applyFill="1" applyAlignment="1">
      <alignment horizontal="left"/>
    </xf>
    <xf numFmtId="180" fontId="7" fillId="6" borderId="18" xfId="0" applyFont="1" applyFill="1" applyBorder="1" applyAlignment="1">
      <alignment horizontal="right"/>
    </xf>
    <xf numFmtId="180" fontId="7" fillId="6" borderId="28" xfId="0" applyFont="1" applyFill="1" applyBorder="1" applyAlignment="1">
      <alignment horizontal="right"/>
    </xf>
    <xf numFmtId="180" fontId="7" fillId="6" borderId="20" xfId="0" applyFont="1" applyFill="1" applyBorder="1" applyAlignment="1">
      <alignment horizontal="right"/>
    </xf>
    <xf numFmtId="180" fontId="7" fillId="6" borderId="0" xfId="0" applyFont="1" applyFill="1" applyBorder="1" applyAlignment="1">
      <alignment horizontal="right"/>
    </xf>
    <xf numFmtId="0" fontId="7" fillId="6" borderId="20" xfId="9" applyFont="1" applyFill="1" applyBorder="1" applyAlignment="1">
      <alignment horizontal="right"/>
    </xf>
    <xf numFmtId="0" fontId="7" fillId="6" borderId="0" xfId="9" applyFont="1" applyFill="1" applyBorder="1" applyAlignment="1">
      <alignment horizontal="right"/>
    </xf>
    <xf numFmtId="202" fontId="22" fillId="3" borderId="0" xfId="8" applyNumberFormat="1" applyFont="1" applyFill="1" applyBorder="1" applyAlignment="1">
      <alignment horizontal="left"/>
    </xf>
    <xf numFmtId="202" fontId="7" fillId="4" borderId="3" xfId="9" applyNumberFormat="1" applyFont="1" applyFill="1" applyBorder="1" applyAlignment="1">
      <alignment horizontal="center"/>
    </xf>
    <xf numFmtId="202" fontId="7" fillId="4" borderId="4" xfId="9" applyNumberFormat="1" applyFont="1" applyFill="1" applyBorder="1" applyAlignment="1">
      <alignment horizontal="center"/>
    </xf>
    <xf numFmtId="0" fontId="7" fillId="0" borderId="31" xfId="9" applyFont="1" applyBorder="1" applyAlignment="1">
      <alignment horizontal="center"/>
    </xf>
    <xf numFmtId="0" fontId="7" fillId="0" borderId="63" xfId="9" applyFont="1" applyBorder="1" applyAlignment="1">
      <alignment horizontal="center"/>
    </xf>
    <xf numFmtId="0" fontId="7" fillId="4" borderId="5" xfId="9" applyFont="1" applyFill="1" applyBorder="1" applyAlignment="1">
      <alignment horizontal="center"/>
    </xf>
    <xf numFmtId="0" fontId="7" fillId="4" borderId="43" xfId="9" applyFont="1" applyFill="1" applyBorder="1" applyAlignment="1">
      <alignment horizontal="center"/>
    </xf>
    <xf numFmtId="0" fontId="7" fillId="4" borderId="6" xfId="9" applyFont="1" applyFill="1" applyBorder="1" applyAlignment="1">
      <alignment horizontal="center"/>
    </xf>
    <xf numFmtId="49" fontId="7" fillId="7" borderId="0" xfId="9" applyNumberFormat="1" applyFont="1" applyFill="1" applyAlignment="1"/>
    <xf numFmtId="0" fontId="7" fillId="4" borderId="5" xfId="9" quotePrefix="1" applyFont="1" applyFill="1" applyBorder="1" applyAlignment="1">
      <alignment horizontal="center"/>
    </xf>
    <xf numFmtId="0" fontId="7" fillId="7" borderId="0" xfId="9" applyFont="1" applyFill="1" applyAlignment="1">
      <alignment horizontal="left"/>
    </xf>
    <xf numFmtId="0" fontId="7" fillId="0" borderId="3" xfId="9" applyFont="1" applyFill="1" applyBorder="1" applyAlignment="1">
      <alignment horizontal="left"/>
    </xf>
    <xf numFmtId="0" fontId="7" fillId="0" borderId="0" xfId="9" applyFont="1" applyFill="1" applyBorder="1" applyAlignment="1">
      <alignment horizontal="left"/>
    </xf>
    <xf numFmtId="0" fontId="7" fillId="0" borderId="3" xfId="9" applyFont="1" applyBorder="1" applyAlignment="1">
      <alignment horizontal="left"/>
    </xf>
    <xf numFmtId="0" fontId="7" fillId="0" borderId="0" xfId="9" applyFont="1" applyBorder="1" applyAlignment="1">
      <alignment horizontal="left"/>
    </xf>
    <xf numFmtId="202" fontId="7" fillId="3" borderId="24" xfId="9" applyNumberFormat="1" applyFont="1" applyFill="1" applyBorder="1" applyAlignment="1">
      <alignment horizontal="center"/>
    </xf>
    <xf numFmtId="202" fontId="7" fillId="3" borderId="26" xfId="9" applyNumberFormat="1" applyFont="1" applyFill="1" applyBorder="1" applyAlignment="1">
      <alignment horizontal="center"/>
    </xf>
    <xf numFmtId="0" fontId="7" fillId="0" borderId="32" xfId="9" applyFont="1" applyBorder="1" applyAlignment="1">
      <alignment horizontal="center"/>
    </xf>
    <xf numFmtId="0" fontId="7" fillId="0" borderId="47" xfId="9" applyFont="1" applyBorder="1" applyAlignment="1">
      <alignment horizontal="center"/>
    </xf>
    <xf numFmtId="202" fontId="7" fillId="4" borderId="31" xfId="9" applyNumberFormat="1" applyFont="1" applyFill="1" applyBorder="1" applyAlignment="1">
      <alignment horizontal="center"/>
    </xf>
    <xf numFmtId="202" fontId="7" fillId="4" borderId="63" xfId="9" applyNumberFormat="1" applyFont="1" applyFill="1" applyBorder="1" applyAlignment="1">
      <alignment horizontal="center"/>
    </xf>
    <xf numFmtId="180" fontId="7" fillId="4" borderId="0" xfId="0" applyFont="1" applyFill="1" applyAlignment="1">
      <alignment horizontal="right"/>
    </xf>
    <xf numFmtId="180" fontId="0" fillId="8" borderId="3" xfId="0" applyFill="1" applyBorder="1" applyAlignment="1"/>
    <xf numFmtId="180" fontId="0" fillId="8" borderId="0" xfId="0" applyFill="1" applyAlignment="1"/>
    <xf numFmtId="180" fontId="7" fillId="3" borderId="0" xfId="0" applyFont="1" applyFill="1" applyAlignment="1">
      <alignment horizontal="center"/>
    </xf>
    <xf numFmtId="180" fontId="7" fillId="3" borderId="0" xfId="0" applyFont="1" applyFill="1" applyAlignment="1">
      <alignment horizontal="left"/>
    </xf>
    <xf numFmtId="14" fontId="7" fillId="3" borderId="0" xfId="0" applyNumberFormat="1" applyFont="1" applyFill="1" applyAlignment="1">
      <alignment horizontal="left"/>
    </xf>
    <xf numFmtId="180" fontId="20" fillId="8" borderId="51" xfId="0" applyFont="1" applyFill="1" applyBorder="1" applyAlignment="1" applyProtection="1">
      <alignment horizontal="center" vertical="center"/>
    </xf>
    <xf numFmtId="180" fontId="20" fillId="8" borderId="77" xfId="0" applyFont="1" applyFill="1" applyBorder="1" applyAlignment="1" applyProtection="1">
      <alignment horizontal="center" vertical="center"/>
    </xf>
    <xf numFmtId="14" fontId="7" fillId="4" borderId="0" xfId="0" applyNumberFormat="1" applyFont="1" applyFill="1" applyAlignment="1">
      <alignment horizontal="right"/>
    </xf>
  </cellXfs>
  <cellStyles count="15">
    <cellStyle name="Date" xfId="1"/>
    <cellStyle name="En-tete1" xfId="2"/>
    <cellStyle name="En-tete2" xfId="3"/>
    <cellStyle name="Financier" xfId="4"/>
    <cellStyle name="Fixe" xfId="5"/>
    <cellStyle name="Milliers" xfId="6" builtinId="3"/>
    <cellStyle name="Monetaire" xfId="7"/>
    <cellStyle name="Monétaire" xfId="8" builtinId="4"/>
    <cellStyle name="Normal" xfId="0" builtinId="0"/>
    <cellStyle name="Normal_Feuil16" xfId="9"/>
    <cellStyle name="Normal_R.Technique" xfId="10"/>
    <cellStyle name="Normal_R.Technique_1" xfId="11"/>
    <cellStyle name="Normal_Réf Code" xfId="12"/>
    <cellStyle name="Pourcentage" xfId="13" builtinId="5"/>
    <cellStyle name="Total" xfId="14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155</xdr:row>
      <xdr:rowOff>0</xdr:rowOff>
    </xdr:from>
    <xdr:to>
      <xdr:col>8</xdr:col>
      <xdr:colOff>257175</xdr:colOff>
      <xdr:row>158</xdr:row>
      <xdr:rowOff>123825</xdr:rowOff>
    </xdr:to>
    <xdr:sp macro="" textlink="">
      <xdr:nvSpPr>
        <xdr:cNvPr id="4099" name="Texte 8"/>
        <xdr:cNvSpPr txBox="1">
          <a:spLocks noChangeArrowheads="1"/>
        </xdr:cNvSpPr>
      </xdr:nvSpPr>
      <xdr:spPr bwMode="auto">
        <a:xfrm>
          <a:off x="38100" y="0"/>
          <a:ext cx="5181600" cy="0"/>
        </a:xfrm>
        <a:prstGeom prst="rect">
          <a:avLst/>
        </a:prstGeom>
        <a:solidFill>
          <a:srgbClr val="CCFFCC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BE" sz="1000" b="0" i="0" u="none" strike="noStrike" baseline="0">
              <a:solidFill>
                <a:srgbClr val="000000"/>
              </a:solidFill>
              <a:latin typeface="Courier"/>
            </a:rPr>
            <a:t>Attestation CAS - Demande d'aides communautaires - Engagement de comptabilité - Relevé de facture(s) - Autorisation de renseignements aux Contributions directes - </a:t>
          </a:r>
          <a:endParaRPr lang="fr-BE" sz="1200" b="0" i="0" u="none" strike="noStrike" baseline="0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endParaRPr lang="fr-BE" sz="1200" b="0" i="0" u="none" strike="noStrike" baseline="0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endParaRPr lang="fr-BE" sz="1200" b="0" i="0" u="none" strike="noStrike" baseline="0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endParaRPr lang="fr-BE" sz="1200" b="0" i="0" u="none" strike="noStrike" baseline="0">
            <a:solidFill>
              <a:srgbClr val="000000"/>
            </a:solidFill>
            <a:latin typeface="Courier"/>
          </a:endParaRPr>
        </a:p>
        <a:p>
          <a:pPr algn="l" rtl="0">
            <a:defRPr sz="1000"/>
          </a:pPr>
          <a:endParaRPr lang="fr-BE" sz="1200" b="0" i="0" u="none" strike="noStrike" baseline="0">
            <a:solidFill>
              <a:srgbClr val="000000"/>
            </a:solidFill>
            <a:latin typeface="Courier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udora\Attach\Fiches%20structu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ucture"/>
      <sheetName val="ref"/>
      <sheetName val="Feuil3"/>
    </sheetNames>
    <sheetDataSet>
      <sheetData sheetId="0" refreshError="1"/>
      <sheetData sheetId="1">
        <row r="20">
          <cell r="E20" t="str">
            <v>Oui</v>
          </cell>
        </row>
        <row r="21">
          <cell r="E21" t="str">
            <v>Non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printerSettings" Target="../printerSettings/printerSettings14.bin"/><Relationship Id="rId7" Type="http://schemas.openxmlformats.org/officeDocument/2006/relationships/control" Target="../activeX/activeX3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control" Target="../activeX/activeX2.xml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Feuil1">
    <pageSetUpPr fitToPage="1"/>
  </sheetPr>
  <dimension ref="A1:BW1031"/>
  <sheetViews>
    <sheetView showGridLines="0" showZeros="0" tabSelected="1" topLeftCell="A13" zoomScaleNormal="100" zoomScaleSheetLayoutView="75" workbookViewId="0">
      <selection activeCell="BX12" sqref="BX12"/>
    </sheetView>
  </sheetViews>
  <sheetFormatPr baseColWidth="10" defaultRowHeight="11.25"/>
  <cols>
    <col min="1" max="1" width="16.77734375" style="515" customWidth="1"/>
    <col min="2" max="2" width="4.88671875" style="514" customWidth="1"/>
    <col min="3" max="3" width="8.21875" style="514" customWidth="1"/>
    <col min="4" max="4" width="9.21875" style="514" customWidth="1"/>
    <col min="5" max="5" width="12.5546875" style="514" customWidth="1"/>
    <col min="6" max="6" width="10.21875" style="514" bestFit="1" customWidth="1"/>
    <col min="7" max="7" width="4.88671875" style="514" customWidth="1"/>
    <col min="8" max="8" width="8.77734375" style="515" customWidth="1"/>
    <col min="9" max="9" width="9.21875" style="514" customWidth="1"/>
    <col min="10" max="10" width="11.44140625" style="514" bestFit="1" customWidth="1"/>
    <col min="11" max="11" width="10.21875" style="514" bestFit="1" customWidth="1"/>
    <col min="12" max="12" width="1.77734375" style="515" customWidth="1"/>
    <col min="13" max="13" width="12.88671875" style="515" hidden="1" customWidth="1"/>
    <col min="14" max="14" width="0" style="515" hidden="1" customWidth="1"/>
    <col min="15" max="15" width="22.44140625" style="515" hidden="1" customWidth="1"/>
    <col min="16" max="16" width="6.109375" style="515" hidden="1" customWidth="1"/>
    <col min="17" max="17" width="9.77734375" style="515" hidden="1" customWidth="1"/>
    <col min="18" max="18" width="9.109375" style="515" hidden="1" customWidth="1"/>
    <col min="19" max="74" width="0" style="515" hidden="1" customWidth="1"/>
    <col min="75" max="16384" width="11.5546875" style="515"/>
  </cols>
  <sheetData>
    <row r="1" spans="1:75" s="761" customFormat="1" hidden="1">
      <c r="B1" s="755" t="s">
        <v>64</v>
      </c>
      <c r="C1" s="756"/>
      <c r="D1" s="1418" t="e">
        <f>B926</f>
        <v>#DIV/0!</v>
      </c>
      <c r="E1" s="1419"/>
      <c r="F1" s="1420" t="e">
        <f>G926</f>
        <v>#DIV/0!</v>
      </c>
      <c r="G1" s="1421"/>
      <c r="H1" s="757" t="s">
        <v>65</v>
      </c>
      <c r="I1" s="758" t="e">
        <f>B955</f>
        <v>#DIV/0!</v>
      </c>
      <c r="J1" s="759">
        <f>G972</f>
        <v>0</v>
      </c>
      <c r="K1" s="760"/>
      <c r="M1" s="762"/>
    </row>
    <row r="2" spans="1:75" s="761" customFormat="1" ht="12" hidden="1" thickBot="1">
      <c r="A2" s="763" t="s">
        <v>1124</v>
      </c>
      <c r="B2" s="777">
        <f>BUDG_UTH_AV</f>
        <v>0</v>
      </c>
      <c r="C2" s="764">
        <f>BUDG_UTH_AP</f>
        <v>0</v>
      </c>
      <c r="D2" s="1424" t="e">
        <f>E927</f>
        <v>#DIV/0!</v>
      </c>
      <c r="E2" s="1425"/>
      <c r="F2" s="1422" t="e">
        <f>J927</f>
        <v>#DIV/0!</v>
      </c>
      <c r="G2" s="1423"/>
      <c r="H2" s="765"/>
      <c r="I2" s="766"/>
      <c r="J2" s="759"/>
      <c r="K2" s="760"/>
    </row>
    <row r="3" spans="1:75" s="768" customFormat="1" ht="12" hidden="1" thickBot="1">
      <c r="A3" s="849"/>
      <c r="B3" s="767"/>
      <c r="C3" s="767"/>
      <c r="D3" s="767"/>
      <c r="E3" s="767"/>
      <c r="F3" s="767"/>
      <c r="G3" s="767"/>
      <c r="I3" s="769"/>
      <c r="J3" s="770"/>
      <c r="K3" s="770"/>
      <c r="L3" s="771"/>
      <c r="M3" s="771"/>
      <c r="N3" s="771"/>
      <c r="O3" s="772"/>
      <c r="P3" s="772"/>
      <c r="Q3" s="772"/>
      <c r="R3" s="772"/>
      <c r="S3" s="772"/>
      <c r="T3" s="772"/>
      <c r="U3" s="772"/>
      <c r="V3" s="772"/>
      <c r="W3" s="772"/>
      <c r="X3" s="772"/>
      <c r="Y3" s="772"/>
      <c r="Z3" s="772"/>
      <c r="AA3" s="772"/>
      <c r="AB3" s="772"/>
      <c r="AC3" s="772"/>
      <c r="AD3" s="772"/>
      <c r="AE3" s="772"/>
      <c r="AF3" s="772"/>
      <c r="AG3" s="772"/>
      <c r="AH3" s="772"/>
      <c r="AI3" s="772"/>
      <c r="AJ3" s="772"/>
      <c r="AK3" s="772"/>
      <c r="AL3" s="772"/>
      <c r="AM3" s="772"/>
      <c r="AN3" s="772"/>
      <c r="AO3" s="772"/>
      <c r="AP3" s="772"/>
      <c r="AQ3" s="772"/>
      <c r="AR3" s="772"/>
      <c r="AS3" s="772"/>
      <c r="AT3" s="772"/>
      <c r="AU3" s="772"/>
      <c r="AV3" s="772"/>
      <c r="AW3" s="772"/>
      <c r="AX3" s="772"/>
      <c r="AY3" s="772"/>
      <c r="AZ3" s="772"/>
      <c r="BA3" s="772"/>
      <c r="BB3" s="772"/>
      <c r="BC3" s="772"/>
      <c r="BD3" s="772"/>
      <c r="BE3" s="772"/>
      <c r="BF3" s="772"/>
      <c r="BG3" s="772"/>
      <c r="BH3" s="772"/>
      <c r="BI3" s="772"/>
      <c r="BJ3" s="772"/>
      <c r="BK3" s="772"/>
      <c r="BL3" s="772"/>
      <c r="BM3" s="772"/>
      <c r="BN3" s="772"/>
      <c r="BO3" s="772"/>
      <c r="BP3" s="772"/>
      <c r="BQ3" s="772"/>
      <c r="BR3" s="772"/>
      <c r="BS3" s="772"/>
      <c r="BT3" s="772"/>
      <c r="BU3" s="772"/>
      <c r="BV3" s="772"/>
      <c r="BW3" s="772"/>
    </row>
    <row r="4" spans="1:75" ht="15.75" customHeight="1" thickBot="1">
      <c r="A4" s="1400" t="s">
        <v>1374</v>
      </c>
      <c r="B4" s="1427" t="s">
        <v>67</v>
      </c>
      <c r="C4" s="1427"/>
      <c r="D4" s="1427"/>
      <c r="E4" s="1427"/>
      <c r="F4" s="1427"/>
      <c r="G4" s="1427"/>
      <c r="H4" s="1428"/>
      <c r="I4" s="773"/>
      <c r="J4" s="776"/>
      <c r="K4" s="774"/>
      <c r="L4" s="754"/>
      <c r="M4" s="754" t="s">
        <v>894</v>
      </c>
      <c r="N4" s="754"/>
      <c r="O4" s="754"/>
      <c r="P4" s="754"/>
      <c r="Q4" s="754"/>
      <c r="R4" s="754"/>
      <c r="S4" s="754"/>
      <c r="T4" s="754"/>
      <c r="U4" s="754"/>
      <c r="V4" s="754"/>
      <c r="W4" s="754"/>
      <c r="X4" s="754"/>
      <c r="Y4" s="754"/>
      <c r="Z4" s="754"/>
      <c r="AA4" s="754"/>
      <c r="AB4" s="754"/>
      <c r="AC4" s="754"/>
      <c r="AD4" s="754"/>
      <c r="AE4" s="754"/>
      <c r="AF4" s="754"/>
      <c r="AG4" s="754"/>
      <c r="AH4" s="754"/>
      <c r="AI4" s="754"/>
      <c r="AJ4" s="754"/>
      <c r="AK4" s="754"/>
      <c r="AL4" s="754"/>
      <c r="AM4" s="754"/>
      <c r="AN4" s="754"/>
      <c r="AO4" s="754"/>
      <c r="AP4" s="754"/>
      <c r="AQ4" s="754"/>
      <c r="AR4" s="754"/>
      <c r="AS4" s="754"/>
      <c r="AT4" s="754"/>
      <c r="AU4" s="754"/>
      <c r="AV4" s="754"/>
      <c r="AW4" s="754"/>
      <c r="AX4" s="754"/>
      <c r="AY4" s="754"/>
      <c r="AZ4" s="754"/>
      <c r="BA4" s="754"/>
      <c r="BB4" s="754"/>
      <c r="BC4" s="754"/>
      <c r="BD4" s="754"/>
      <c r="BE4" s="754"/>
      <c r="BF4" s="754"/>
      <c r="BG4" s="754"/>
      <c r="BH4" s="754"/>
      <c r="BI4" s="754"/>
      <c r="BJ4" s="754"/>
      <c r="BK4" s="754"/>
      <c r="BL4" s="754"/>
      <c r="BM4" s="754"/>
      <c r="BN4" s="754"/>
      <c r="BO4" s="754"/>
      <c r="BP4" s="754"/>
      <c r="BQ4" s="754"/>
      <c r="BR4" s="754"/>
      <c r="BS4" s="754"/>
      <c r="BT4" s="754"/>
      <c r="BU4" s="754"/>
      <c r="BV4" s="754"/>
      <c r="BW4" s="754"/>
    </row>
    <row r="5" spans="1:75" ht="13.5" customHeight="1">
      <c r="A5" s="1188"/>
      <c r="B5" s="968"/>
      <c r="C5" s="968"/>
      <c r="D5" s="968"/>
      <c r="E5" s="968"/>
      <c r="F5" s="968"/>
      <c r="G5" s="968"/>
      <c r="H5" s="991"/>
      <c r="I5" s="1204"/>
      <c r="J5" s="1205"/>
      <c r="K5" s="1206"/>
      <c r="L5" s="772"/>
      <c r="M5" s="754" t="s">
        <v>895</v>
      </c>
      <c r="N5" s="754"/>
      <c r="O5" s="754"/>
      <c r="P5" s="754"/>
      <c r="Q5" s="754"/>
      <c r="R5" s="754"/>
      <c r="S5" s="754"/>
      <c r="T5" s="754"/>
      <c r="U5" s="754"/>
      <c r="V5" s="754"/>
      <c r="W5" s="754"/>
      <c r="X5" s="754"/>
      <c r="Y5" s="754"/>
      <c r="Z5" s="754"/>
      <c r="AA5" s="754"/>
      <c r="AB5" s="754"/>
      <c r="AC5" s="754"/>
      <c r="AD5" s="754"/>
      <c r="AE5" s="754"/>
      <c r="AF5" s="754"/>
      <c r="AG5" s="754"/>
      <c r="AH5" s="754"/>
      <c r="AI5" s="754"/>
      <c r="AJ5" s="754"/>
      <c r="AK5" s="754"/>
      <c r="AL5" s="754"/>
      <c r="AM5" s="754"/>
      <c r="AN5" s="754"/>
      <c r="AO5" s="754"/>
      <c r="AP5" s="754"/>
      <c r="AQ5" s="754"/>
      <c r="AR5" s="754"/>
      <c r="AS5" s="754"/>
      <c r="AT5" s="754"/>
      <c r="AU5" s="754"/>
      <c r="AV5" s="754"/>
      <c r="AW5" s="754"/>
      <c r="AX5" s="754"/>
      <c r="AY5" s="754"/>
      <c r="AZ5" s="754"/>
      <c r="BA5" s="754"/>
      <c r="BB5" s="754"/>
      <c r="BC5" s="754"/>
      <c r="BD5" s="754"/>
      <c r="BE5" s="754"/>
      <c r="BF5" s="754"/>
      <c r="BG5" s="754"/>
      <c r="BH5" s="754"/>
      <c r="BI5" s="754"/>
      <c r="BJ5" s="754"/>
      <c r="BK5" s="754"/>
      <c r="BL5" s="754"/>
      <c r="BM5" s="754"/>
      <c r="BN5" s="754"/>
      <c r="BO5" s="754"/>
      <c r="BP5" s="754"/>
      <c r="BQ5" s="754"/>
      <c r="BR5" s="754"/>
      <c r="BS5" s="754"/>
      <c r="BT5" s="754"/>
      <c r="BU5" s="754"/>
      <c r="BV5" s="754"/>
      <c r="BW5" s="754"/>
    </row>
    <row r="6" spans="1:75" ht="12" thickBot="1">
      <c r="A6" s="768"/>
      <c r="B6" s="843"/>
      <c r="C6" s="767"/>
      <c r="D6" s="767"/>
      <c r="E6" s="767"/>
      <c r="F6" s="767"/>
      <c r="G6" s="767"/>
      <c r="H6" s="768"/>
      <c r="I6" s="894" t="s">
        <v>1248</v>
      </c>
      <c r="J6" s="850"/>
      <c r="K6" s="1206"/>
      <c r="L6" s="772"/>
      <c r="M6" s="754" t="s">
        <v>896</v>
      </c>
      <c r="N6" s="754"/>
      <c r="O6" s="754"/>
      <c r="P6" s="754"/>
      <c r="Q6" s="754"/>
      <c r="R6" s="754"/>
      <c r="S6" s="754"/>
      <c r="T6" s="754"/>
      <c r="U6" s="754"/>
      <c r="V6" s="754"/>
      <c r="W6" s="754"/>
      <c r="X6" s="754"/>
      <c r="Y6" s="754"/>
      <c r="Z6" s="754"/>
      <c r="AA6" s="754"/>
      <c r="AB6" s="754"/>
      <c r="AC6" s="754"/>
      <c r="AD6" s="754"/>
      <c r="AE6" s="754"/>
      <c r="AF6" s="754"/>
      <c r="AG6" s="754"/>
      <c r="AH6" s="754"/>
      <c r="AI6" s="754"/>
      <c r="AJ6" s="754"/>
      <c r="AK6" s="754"/>
      <c r="AL6" s="754"/>
      <c r="AM6" s="754"/>
      <c r="AN6" s="754"/>
      <c r="AO6" s="754"/>
      <c r="AP6" s="754"/>
      <c r="AQ6" s="754"/>
      <c r="AR6" s="754"/>
      <c r="AS6" s="754"/>
      <c r="AT6" s="754"/>
      <c r="AU6" s="754"/>
      <c r="AV6" s="754"/>
      <c r="AW6" s="754"/>
      <c r="AX6" s="754"/>
      <c r="AY6" s="754"/>
      <c r="AZ6" s="754"/>
      <c r="BA6" s="754"/>
      <c r="BB6" s="754"/>
      <c r="BC6" s="754"/>
      <c r="BD6" s="754"/>
      <c r="BE6" s="754"/>
      <c r="BF6" s="754"/>
      <c r="BG6" s="754"/>
      <c r="BH6" s="754"/>
      <c r="BI6" s="754"/>
      <c r="BJ6" s="754"/>
      <c r="BK6" s="754"/>
      <c r="BL6" s="754"/>
      <c r="BM6" s="754"/>
      <c r="BN6" s="754"/>
      <c r="BO6" s="754"/>
      <c r="BP6" s="754"/>
      <c r="BQ6" s="754"/>
      <c r="BR6" s="754"/>
      <c r="BS6" s="754"/>
      <c r="BT6" s="754"/>
      <c r="BU6" s="754"/>
      <c r="BV6" s="754"/>
      <c r="BW6" s="754"/>
    </row>
    <row r="7" spans="1:75" ht="15.75" customHeight="1">
      <c r="A7" s="1093" t="s">
        <v>69</v>
      </c>
      <c r="B7" s="1099"/>
      <c r="C7" s="1207"/>
      <c r="D7" s="1207"/>
      <c r="E7" s="1208"/>
      <c r="F7" s="1209"/>
      <c r="G7" s="767"/>
      <c r="H7" s="768"/>
      <c r="I7" s="1204"/>
      <c r="J7" s="1210"/>
      <c r="K7" s="1206"/>
      <c r="L7" s="772"/>
      <c r="M7" s="754" t="s">
        <v>916</v>
      </c>
      <c r="N7" s="754"/>
      <c r="O7" s="754"/>
      <c r="P7" s="754"/>
      <c r="Q7" s="754"/>
      <c r="R7" s="754"/>
      <c r="S7" s="754"/>
      <c r="T7" s="754"/>
      <c r="U7" s="754"/>
      <c r="V7" s="754"/>
      <c r="W7" s="754"/>
      <c r="X7" s="754"/>
      <c r="Y7" s="754"/>
      <c r="Z7" s="754"/>
      <c r="AA7" s="754"/>
      <c r="AB7" s="754"/>
      <c r="AC7" s="754"/>
      <c r="AD7" s="754"/>
      <c r="AE7" s="754"/>
      <c r="AF7" s="754"/>
      <c r="AG7" s="754"/>
      <c r="AH7" s="754"/>
      <c r="AI7" s="754"/>
      <c r="AJ7" s="754"/>
      <c r="AK7" s="754"/>
      <c r="AL7" s="754"/>
      <c r="AM7" s="754"/>
      <c r="AN7" s="754"/>
      <c r="AO7" s="754"/>
      <c r="AP7" s="754"/>
      <c r="AQ7" s="754"/>
      <c r="AR7" s="754"/>
      <c r="AS7" s="754"/>
      <c r="AT7" s="754"/>
      <c r="AU7" s="754"/>
      <c r="AV7" s="754"/>
      <c r="AW7" s="754"/>
      <c r="AX7" s="754"/>
      <c r="AY7" s="754"/>
      <c r="AZ7" s="754"/>
      <c r="BA7" s="754"/>
      <c r="BB7" s="754"/>
      <c r="BC7" s="754"/>
      <c r="BD7" s="754"/>
      <c r="BE7" s="754"/>
      <c r="BF7" s="754"/>
      <c r="BG7" s="754"/>
      <c r="BH7" s="754"/>
      <c r="BI7" s="754"/>
      <c r="BJ7" s="754"/>
      <c r="BK7" s="754"/>
      <c r="BL7" s="754"/>
      <c r="BM7" s="754"/>
      <c r="BN7" s="754"/>
      <c r="BO7" s="754"/>
      <c r="BP7" s="754"/>
      <c r="BQ7" s="754"/>
      <c r="BR7" s="754"/>
      <c r="BS7" s="754"/>
      <c r="BT7" s="754"/>
      <c r="BU7" s="754"/>
      <c r="BV7" s="754"/>
      <c r="BW7" s="754"/>
    </row>
    <row r="8" spans="1:75" ht="12" thickBot="1">
      <c r="A8" s="1094" t="s">
        <v>70</v>
      </c>
      <c r="B8" s="1101" t="s">
        <v>1220</v>
      </c>
      <c r="C8" s="1211"/>
      <c r="D8" s="1211"/>
      <c r="E8" s="1212"/>
      <c r="F8" s="1213"/>
      <c r="G8" s="767"/>
      <c r="H8" s="1098" t="s">
        <v>71</v>
      </c>
      <c r="I8" s="775">
        <f>B64+B88+B110+C174-B86-B87+C324</f>
        <v>0</v>
      </c>
      <c r="J8" s="842" t="s">
        <v>72</v>
      </c>
      <c r="K8" s="927"/>
      <c r="L8" s="768"/>
      <c r="M8" s="525"/>
    </row>
    <row r="9" spans="1:75">
      <c r="A9" s="1095" t="s">
        <v>73</v>
      </c>
      <c r="B9" s="1100" t="s">
        <v>1220</v>
      </c>
      <c r="C9" s="1214"/>
      <c r="D9" s="1214"/>
      <c r="E9" s="767"/>
      <c r="F9" s="767"/>
      <c r="G9" s="767"/>
      <c r="H9" s="768"/>
      <c r="I9" s="775">
        <f>G64+G88+G110+H174-G86-G87+H324</f>
        <v>0</v>
      </c>
      <c r="J9" s="842" t="s">
        <v>74</v>
      </c>
      <c r="K9" s="767"/>
      <c r="L9" s="768"/>
      <c r="M9" s="518" t="s">
        <v>1162</v>
      </c>
      <c r="N9" s="523"/>
    </row>
    <row r="10" spans="1:75" ht="12" thickBot="1">
      <c r="A10" s="1095" t="s">
        <v>75</v>
      </c>
      <c r="B10" s="1102" t="s">
        <v>1220</v>
      </c>
      <c r="C10" s="927"/>
      <c r="D10" s="1215"/>
      <c r="E10" s="767"/>
      <c r="F10" s="767"/>
      <c r="G10" s="767"/>
      <c r="H10" s="768"/>
      <c r="I10" s="843" t="s">
        <v>672</v>
      </c>
      <c r="J10" s="521"/>
      <c r="K10" s="767"/>
      <c r="L10" s="768"/>
      <c r="M10" s="522" t="s">
        <v>916</v>
      </c>
      <c r="N10" s="523"/>
      <c r="O10" s="515" t="str">
        <f>IF(ISBLANK(BUDG_ANNEE_DEB),"",YEAR(BUDG_ANNEE_DEB))</f>
        <v/>
      </c>
    </row>
    <row r="11" spans="1:75">
      <c r="A11" s="1095" t="s">
        <v>76</v>
      </c>
      <c r="B11" s="1100" t="s">
        <v>1220</v>
      </c>
      <c r="C11" s="1214"/>
      <c r="D11" s="1216"/>
      <c r="E11" s="767"/>
      <c r="F11" s="767"/>
      <c r="G11" s="767"/>
      <c r="H11" s="768"/>
      <c r="I11" s="833" t="s">
        <v>673</v>
      </c>
      <c r="J11" s="1170"/>
      <c r="K11" s="767"/>
      <c r="L11" s="768"/>
      <c r="O11" s="515" t="str">
        <f>IF(ISBLANK(BUDG_ANNEE_FIN),"",YEAR(BUDG_ANNEE_FIN))</f>
        <v/>
      </c>
    </row>
    <row r="12" spans="1:75" ht="12" thickBot="1">
      <c r="A12" s="1096" t="s">
        <v>77</v>
      </c>
      <c r="B12" s="1100" t="s">
        <v>1220</v>
      </c>
      <c r="C12" s="1214"/>
      <c r="D12" s="1215"/>
      <c r="E12" s="767"/>
      <c r="F12" s="767"/>
      <c r="G12" s="767"/>
      <c r="H12" s="768"/>
      <c r="I12" s="843" t="s">
        <v>78</v>
      </c>
      <c r="J12" s="1426"/>
      <c r="K12" s="1426"/>
      <c r="L12" s="768"/>
      <c r="S12" s="515" t="str">
        <f>INDEX(T12:T23,S13,1)</f>
        <v>condroz</v>
      </c>
      <c r="T12" s="515" t="str">
        <f>MID(Valeurs!A134,14,30)</f>
        <v>sablo-limoneux</v>
      </c>
    </row>
    <row r="13" spans="1:75">
      <c r="A13" s="768"/>
      <c r="B13" s="767"/>
      <c r="C13" s="767"/>
      <c r="D13" s="767"/>
      <c r="E13" s="767"/>
      <c r="F13" s="767"/>
      <c r="G13" s="767"/>
      <c r="H13" s="768"/>
      <c r="I13" s="843"/>
      <c r="J13" s="1217"/>
      <c r="K13" s="767"/>
      <c r="L13" s="768"/>
      <c r="S13" s="515">
        <v>6</v>
      </c>
      <c r="T13" s="515" t="str">
        <f>MID(Valeurs!A135,14,30)</f>
        <v>campine henuyère</v>
      </c>
    </row>
    <row r="14" spans="1:75">
      <c r="A14" s="768"/>
      <c r="B14" s="1097" t="s">
        <v>79</v>
      </c>
      <c r="C14" s="526"/>
      <c r="D14" s="842"/>
      <c r="E14" s="767"/>
      <c r="F14" s="1097"/>
      <c r="G14" s="1097" t="s">
        <v>80</v>
      </c>
      <c r="H14" s="526"/>
      <c r="I14" s="842"/>
      <c r="J14" s="767"/>
      <c r="K14" s="767"/>
      <c r="L14" s="768"/>
      <c r="T14" s="515" t="str">
        <f>MID(Valeurs!A136,14,30)</f>
        <v>limoneux (brabant-namur)</v>
      </c>
    </row>
    <row r="15" spans="1:75">
      <c r="A15" s="768"/>
      <c r="B15" s="1218"/>
      <c r="C15" s="1214"/>
      <c r="D15" s="842"/>
      <c r="E15" s="767"/>
      <c r="F15" s="767"/>
      <c r="G15" s="1218"/>
      <c r="H15" s="1219"/>
      <c r="I15" s="842"/>
      <c r="J15" s="767"/>
      <c r="K15" s="767"/>
      <c r="L15" s="768"/>
      <c r="T15" s="515" t="str">
        <f>MID(Valeurs!A137,14,30)</f>
        <v>limoneux (hainaut)</v>
      </c>
    </row>
    <row r="16" spans="1:75" ht="6.75" customHeight="1">
      <c r="A16" s="768"/>
      <c r="B16" s="1218"/>
      <c r="C16" s="842"/>
      <c r="D16" s="767"/>
      <c r="E16" s="767"/>
      <c r="F16" s="767"/>
      <c r="G16" s="1218"/>
      <c r="H16" s="1190"/>
      <c r="I16" s="767"/>
      <c r="J16" s="767"/>
      <c r="K16" s="767"/>
      <c r="L16" s="768"/>
      <c r="T16" s="515" t="str">
        <f>MID(Valeurs!A138,14,30)</f>
        <v>limoneux (liège)</v>
      </c>
    </row>
    <row r="17" spans="1:20">
      <c r="A17" s="857" t="s">
        <v>81</v>
      </c>
      <c r="B17" s="858"/>
      <c r="C17" s="859"/>
      <c r="D17" s="767"/>
      <c r="E17" s="767"/>
      <c r="F17" s="767"/>
      <c r="G17" s="767"/>
      <c r="H17" s="768"/>
      <c r="I17" s="860" t="s">
        <v>671</v>
      </c>
      <c r="J17" s="861">
        <f>YEAR(BUDG_ANNEE_DEB)</f>
        <v>1900</v>
      </c>
      <c r="K17" s="767"/>
      <c r="T17" s="515" t="str">
        <f>MID(Valeurs!A139,14,30)</f>
        <v>condroz</v>
      </c>
    </row>
    <row r="18" spans="1:20" ht="6" customHeight="1">
      <c r="A18" s="768"/>
      <c r="B18" s="767"/>
      <c r="C18" s="767"/>
      <c r="D18" s="767"/>
      <c r="E18" s="767"/>
      <c r="F18" s="767"/>
      <c r="G18" s="842"/>
      <c r="H18" s="768"/>
      <c r="I18" s="767"/>
      <c r="J18" s="842"/>
      <c r="K18" s="767"/>
      <c r="T18" s="515" t="str">
        <f>MID(Valeurs!A140,14,30)</f>
        <v>herbagère (liège)</v>
      </c>
    </row>
    <row r="19" spans="1:20">
      <c r="A19" s="862" t="s">
        <v>1250</v>
      </c>
      <c r="B19" s="767"/>
      <c r="C19" s="767"/>
      <c r="D19" s="767"/>
      <c r="E19" s="767"/>
      <c r="F19" s="767"/>
      <c r="G19" s="767"/>
      <c r="H19" s="768"/>
      <c r="I19" s="767"/>
      <c r="J19" s="767"/>
      <c r="K19" s="767"/>
      <c r="T19" s="515" t="str">
        <f>MID(Valeurs!A141,14,30)</f>
        <v>famenne</v>
      </c>
    </row>
    <row r="20" spans="1:20" ht="6.75" customHeight="1" thickBot="1">
      <c r="A20" s="863"/>
      <c r="B20" s="767"/>
      <c r="C20" s="767"/>
      <c r="D20" s="767"/>
      <c r="E20" s="767"/>
      <c r="F20" s="767"/>
      <c r="G20" s="767"/>
      <c r="H20" s="768"/>
      <c r="I20" s="767"/>
      <c r="J20" s="767"/>
      <c r="K20" s="767"/>
      <c r="T20" s="515" t="str">
        <f>MID(Valeurs!A142,14,30)</f>
        <v>fagnes</v>
      </c>
    </row>
    <row r="21" spans="1:20" s="528" customFormat="1" ht="15" customHeight="1">
      <c r="A21" s="864"/>
      <c r="B21" s="865" t="s">
        <v>82</v>
      </c>
      <c r="C21" s="866"/>
      <c r="D21" s="866"/>
      <c r="E21" s="866"/>
      <c r="F21" s="867"/>
      <c r="G21" s="865" t="s">
        <v>83</v>
      </c>
      <c r="H21" s="868"/>
      <c r="I21" s="866"/>
      <c r="J21" s="866"/>
      <c r="K21" s="867"/>
      <c r="T21" s="515" t="str">
        <f>MID(Valeurs!A143,14,30)</f>
        <v>ardennes</v>
      </c>
    </row>
    <row r="22" spans="1:20">
      <c r="A22" s="869" t="s">
        <v>84</v>
      </c>
      <c r="B22" s="870" t="s">
        <v>85</v>
      </c>
      <c r="C22" s="871" t="s">
        <v>86</v>
      </c>
      <c r="D22" s="871" t="s">
        <v>87</v>
      </c>
      <c r="E22" s="871" t="s">
        <v>88</v>
      </c>
      <c r="F22" s="871" t="s">
        <v>89</v>
      </c>
      <c r="G22" s="870" t="s">
        <v>85</v>
      </c>
      <c r="H22" s="872" t="s">
        <v>86</v>
      </c>
      <c r="I22" s="871" t="s">
        <v>87</v>
      </c>
      <c r="J22" s="871" t="s">
        <v>88</v>
      </c>
      <c r="K22" s="873" t="s">
        <v>89</v>
      </c>
      <c r="T22" s="515" t="str">
        <f>MID(Valeurs!A144,14,30)</f>
        <v>jurassique</v>
      </c>
    </row>
    <row r="23" spans="1:20" ht="12" thickBot="1">
      <c r="A23" s="874" t="s">
        <v>90</v>
      </c>
      <c r="B23" s="875" t="s">
        <v>1168</v>
      </c>
      <c r="C23" s="876" t="s">
        <v>1169</v>
      </c>
      <c r="D23" s="877" t="s">
        <v>1165</v>
      </c>
      <c r="E23" s="878" t="s">
        <v>1166</v>
      </c>
      <c r="F23" s="879" t="s">
        <v>1167</v>
      </c>
      <c r="G23" s="875" t="s">
        <v>1168</v>
      </c>
      <c r="H23" s="880" t="s">
        <v>1169</v>
      </c>
      <c r="I23" s="877" t="s">
        <v>1165</v>
      </c>
      <c r="J23" s="878" t="s">
        <v>1166</v>
      </c>
      <c r="K23" s="881" t="s">
        <v>1167</v>
      </c>
      <c r="T23" s="515" t="str">
        <f>MID(Valeurs!A145,14,30)</f>
        <v xml:space="preserve">hautes ardennes </v>
      </c>
    </row>
    <row r="24" spans="1:20">
      <c r="A24" s="882" t="s">
        <v>91</v>
      </c>
      <c r="B24" s="883"/>
      <c r="C24" s="884"/>
      <c r="D24" s="885"/>
      <c r="E24" s="884"/>
      <c r="F24" s="885"/>
      <c r="G24" s="839"/>
      <c r="H24" s="886"/>
      <c r="I24" s="884"/>
      <c r="J24" s="887"/>
      <c r="K24" s="888"/>
      <c r="M24" s="27"/>
    </row>
    <row r="25" spans="1:20">
      <c r="A25" s="534" t="s">
        <v>92</v>
      </c>
      <c r="B25" s="1103">
        <v>0</v>
      </c>
      <c r="C25" s="1104">
        <v>0</v>
      </c>
      <c r="D25" s="1105">
        <v>0</v>
      </c>
      <c r="E25" s="1106">
        <v>0</v>
      </c>
      <c r="F25" s="797">
        <f>((B25*C25)-E25)*D25</f>
        <v>0</v>
      </c>
      <c r="G25" s="673">
        <f>B25</f>
        <v>0</v>
      </c>
      <c r="H25" s="536">
        <f t="shared" ref="H25:I33" si="0">C25</f>
        <v>0</v>
      </c>
      <c r="I25" s="535">
        <f t="shared" si="0"/>
        <v>0</v>
      </c>
      <c r="J25" s="32"/>
      <c r="K25" s="799">
        <f>(G25*H25-J25)*I25</f>
        <v>0</v>
      </c>
      <c r="M25" s="27"/>
    </row>
    <row r="26" spans="1:20">
      <c r="A26" s="534" t="s">
        <v>93</v>
      </c>
      <c r="B26" s="1103"/>
      <c r="C26" s="1104"/>
      <c r="D26" s="1105"/>
      <c r="E26" s="1106"/>
      <c r="F26" s="797">
        <f t="shared" ref="F26:F33" si="1">((B26*C26)-E26)*D26</f>
        <v>0</v>
      </c>
      <c r="G26" s="673">
        <f t="shared" ref="G26:G33" si="2">B26</f>
        <v>0</v>
      </c>
      <c r="H26" s="536">
        <f t="shared" si="0"/>
        <v>0</v>
      </c>
      <c r="I26" s="535">
        <f t="shared" si="0"/>
        <v>0</v>
      </c>
      <c r="J26" s="32"/>
      <c r="K26" s="799">
        <f t="shared" ref="K26:K33" si="3">(G26*H26-J26)*I26</f>
        <v>0</v>
      </c>
      <c r="M26" s="27"/>
    </row>
    <row r="27" spans="1:20">
      <c r="A27" s="534" t="s">
        <v>94</v>
      </c>
      <c r="B27" s="1103">
        <v>0</v>
      </c>
      <c r="C27" s="1104"/>
      <c r="D27" s="1105"/>
      <c r="E27" s="1106"/>
      <c r="F27" s="797">
        <f t="shared" si="1"/>
        <v>0</v>
      </c>
      <c r="G27" s="673">
        <f t="shared" si="2"/>
        <v>0</v>
      </c>
      <c r="H27" s="536">
        <f t="shared" si="0"/>
        <v>0</v>
      </c>
      <c r="I27" s="535">
        <f t="shared" si="0"/>
        <v>0</v>
      </c>
      <c r="J27" s="32"/>
      <c r="K27" s="799">
        <f t="shared" si="3"/>
        <v>0</v>
      </c>
      <c r="M27" s="27"/>
    </row>
    <row r="28" spans="1:20">
      <c r="A28" s="534" t="s">
        <v>95</v>
      </c>
      <c r="B28" s="1103">
        <v>0</v>
      </c>
      <c r="C28" s="1104"/>
      <c r="D28" s="1105"/>
      <c r="E28" s="1106"/>
      <c r="F28" s="797">
        <f t="shared" si="1"/>
        <v>0</v>
      </c>
      <c r="G28" s="673">
        <f t="shared" si="2"/>
        <v>0</v>
      </c>
      <c r="H28" s="536">
        <f t="shared" si="0"/>
        <v>0</v>
      </c>
      <c r="I28" s="535">
        <f t="shared" si="0"/>
        <v>0</v>
      </c>
      <c r="J28" s="32"/>
      <c r="K28" s="799">
        <f t="shared" si="3"/>
        <v>0</v>
      </c>
      <c r="M28" s="27"/>
    </row>
    <row r="29" spans="1:20">
      <c r="A29" s="534" t="s">
        <v>96</v>
      </c>
      <c r="B29" s="1103">
        <v>0</v>
      </c>
      <c r="C29" s="1104"/>
      <c r="D29" s="1105"/>
      <c r="E29" s="1106"/>
      <c r="F29" s="797">
        <f t="shared" si="1"/>
        <v>0</v>
      </c>
      <c r="G29" s="673">
        <f t="shared" si="2"/>
        <v>0</v>
      </c>
      <c r="H29" s="536">
        <f t="shared" si="0"/>
        <v>0</v>
      </c>
      <c r="I29" s="535">
        <f t="shared" si="0"/>
        <v>0</v>
      </c>
      <c r="J29" s="32"/>
      <c r="K29" s="799">
        <f t="shared" si="3"/>
        <v>0</v>
      </c>
      <c r="M29" s="27"/>
    </row>
    <row r="30" spans="1:20">
      <c r="A30" s="534" t="s">
        <v>97</v>
      </c>
      <c r="B30" s="1103">
        <v>0</v>
      </c>
      <c r="C30" s="1104"/>
      <c r="D30" s="1105"/>
      <c r="E30" s="1106"/>
      <c r="F30" s="797">
        <f t="shared" si="1"/>
        <v>0</v>
      </c>
      <c r="G30" s="673">
        <f t="shared" si="2"/>
        <v>0</v>
      </c>
      <c r="H30" s="536">
        <f t="shared" si="0"/>
        <v>0</v>
      </c>
      <c r="I30" s="535">
        <f t="shared" si="0"/>
        <v>0</v>
      </c>
      <c r="J30" s="32"/>
      <c r="K30" s="799">
        <f t="shared" si="3"/>
        <v>0</v>
      </c>
      <c r="M30" s="27"/>
    </row>
    <row r="31" spans="1:20">
      <c r="A31" s="534" t="s">
        <v>98</v>
      </c>
      <c r="B31" s="1103">
        <v>0</v>
      </c>
      <c r="C31" s="1104"/>
      <c r="D31" s="1105"/>
      <c r="E31" s="1106"/>
      <c r="F31" s="797">
        <f t="shared" si="1"/>
        <v>0</v>
      </c>
      <c r="G31" s="673">
        <f t="shared" si="2"/>
        <v>0</v>
      </c>
      <c r="H31" s="536">
        <f t="shared" si="0"/>
        <v>0</v>
      </c>
      <c r="I31" s="535">
        <f t="shared" si="0"/>
        <v>0</v>
      </c>
      <c r="J31" s="32"/>
      <c r="K31" s="799">
        <f t="shared" si="3"/>
        <v>0</v>
      </c>
      <c r="M31" s="27"/>
    </row>
    <row r="32" spans="1:20">
      <c r="A32" s="534" t="s">
        <v>99</v>
      </c>
      <c r="B32" s="1103">
        <v>0</v>
      </c>
      <c r="C32" s="1104"/>
      <c r="D32" s="1105"/>
      <c r="E32" s="1106"/>
      <c r="F32" s="797">
        <f t="shared" si="1"/>
        <v>0</v>
      </c>
      <c r="G32" s="673">
        <f t="shared" si="2"/>
        <v>0</v>
      </c>
      <c r="H32" s="536">
        <f t="shared" si="0"/>
        <v>0</v>
      </c>
      <c r="I32" s="535">
        <f t="shared" si="0"/>
        <v>0</v>
      </c>
      <c r="J32" s="32"/>
      <c r="K32" s="799">
        <f t="shared" si="3"/>
        <v>0</v>
      </c>
      <c r="M32" s="27"/>
    </row>
    <row r="33" spans="1:11">
      <c r="A33" s="534" t="s">
        <v>100</v>
      </c>
      <c r="B33" s="1103">
        <v>0</v>
      </c>
      <c r="C33" s="1104"/>
      <c r="D33" s="1105"/>
      <c r="E33" s="1106"/>
      <c r="F33" s="797">
        <f t="shared" si="1"/>
        <v>0</v>
      </c>
      <c r="G33" s="673">
        <f t="shared" si="2"/>
        <v>0</v>
      </c>
      <c r="H33" s="536">
        <f t="shared" si="0"/>
        <v>0</v>
      </c>
      <c r="I33" s="535">
        <f t="shared" si="0"/>
        <v>0</v>
      </c>
      <c r="J33" s="32"/>
      <c r="K33" s="799">
        <f t="shared" si="3"/>
        <v>0</v>
      </c>
    </row>
    <row r="34" spans="1:11" ht="9" customHeight="1">
      <c r="A34" s="537"/>
      <c r="B34" s="538"/>
      <c r="C34" s="539"/>
      <c r="D34" s="540"/>
      <c r="E34" s="541"/>
      <c r="F34" s="539"/>
      <c r="G34" s="542"/>
      <c r="H34" s="543"/>
      <c r="I34" s="539"/>
      <c r="J34" s="544"/>
      <c r="K34" s="545"/>
    </row>
    <row r="35" spans="1:11">
      <c r="A35" s="889" t="s">
        <v>101</v>
      </c>
      <c r="B35" s="890"/>
      <c r="C35" s="884"/>
      <c r="D35" s="885"/>
      <c r="E35" s="891"/>
      <c r="F35" s="884"/>
      <c r="G35" s="839"/>
      <c r="H35" s="886"/>
      <c r="I35" s="884"/>
      <c r="J35" s="887"/>
      <c r="K35" s="888"/>
    </row>
    <row r="36" spans="1:11">
      <c r="A36" s="546" t="s">
        <v>102</v>
      </c>
      <c r="B36" s="1103">
        <v>0</v>
      </c>
      <c r="C36" s="1104"/>
      <c r="D36" s="1105"/>
      <c r="E36" s="1106"/>
      <c r="F36" s="797">
        <f>(C118*D36)+((B36*C36)-C118)*F119</f>
        <v>0</v>
      </c>
      <c r="G36" s="673">
        <f t="shared" ref="G36:I41" si="4">B36</f>
        <v>0</v>
      </c>
      <c r="H36" s="536">
        <f t="shared" si="4"/>
        <v>0</v>
      </c>
      <c r="I36" s="535">
        <f t="shared" si="4"/>
        <v>0</v>
      </c>
      <c r="J36" s="32"/>
      <c r="K36" s="799">
        <f>H118*I36+((G36*H36-H118)*F119)</f>
        <v>0</v>
      </c>
    </row>
    <row r="37" spans="1:11">
      <c r="A37" s="546" t="s">
        <v>103</v>
      </c>
      <c r="B37" s="1103">
        <v>0</v>
      </c>
      <c r="C37" s="1104"/>
      <c r="D37" s="1105"/>
      <c r="E37" s="1106"/>
      <c r="F37" s="797">
        <f>((B37*C37)-E37)*D37</f>
        <v>0</v>
      </c>
      <c r="G37" s="673">
        <f t="shared" si="4"/>
        <v>0</v>
      </c>
      <c r="H37" s="536">
        <f t="shared" si="4"/>
        <v>0</v>
      </c>
      <c r="I37" s="535">
        <f t="shared" si="4"/>
        <v>0</v>
      </c>
      <c r="J37" s="32"/>
      <c r="K37" s="799">
        <f>(G37*H37-J37)*I37</f>
        <v>0</v>
      </c>
    </row>
    <row r="38" spans="1:11">
      <c r="A38" s="546" t="s">
        <v>104</v>
      </c>
      <c r="B38" s="1103">
        <v>0</v>
      </c>
      <c r="C38" s="1104"/>
      <c r="D38" s="1105"/>
      <c r="E38" s="1106"/>
      <c r="F38" s="797">
        <f>((B38*C38)-E38)*D38</f>
        <v>0</v>
      </c>
      <c r="G38" s="673">
        <f t="shared" si="4"/>
        <v>0</v>
      </c>
      <c r="H38" s="536">
        <f t="shared" si="4"/>
        <v>0</v>
      </c>
      <c r="I38" s="535">
        <f t="shared" si="4"/>
        <v>0</v>
      </c>
      <c r="J38" s="32"/>
      <c r="K38" s="799">
        <f>(G38*H38-J38)*I38</f>
        <v>0</v>
      </c>
    </row>
    <row r="39" spans="1:11">
      <c r="A39" s="546" t="s">
        <v>105</v>
      </c>
      <c r="B39" s="1103">
        <v>0</v>
      </c>
      <c r="C39" s="1104"/>
      <c r="D39" s="1105"/>
      <c r="E39" s="1106"/>
      <c r="F39" s="797">
        <f>((B39*C39)-E39)*D39</f>
        <v>0</v>
      </c>
      <c r="G39" s="673">
        <f t="shared" si="4"/>
        <v>0</v>
      </c>
      <c r="H39" s="536">
        <f t="shared" si="4"/>
        <v>0</v>
      </c>
      <c r="I39" s="535">
        <f t="shared" si="4"/>
        <v>0</v>
      </c>
      <c r="J39" s="32"/>
      <c r="K39" s="799">
        <f>(G39*H39-J39)*I39</f>
        <v>0</v>
      </c>
    </row>
    <row r="40" spans="1:11">
      <c r="A40" s="546" t="s">
        <v>106</v>
      </c>
      <c r="B40" s="1103">
        <v>0</v>
      </c>
      <c r="C40" s="1104"/>
      <c r="D40" s="1105"/>
      <c r="E40" s="1106"/>
      <c r="F40" s="797">
        <f>B40*C40*D40</f>
        <v>0</v>
      </c>
      <c r="G40" s="673">
        <f t="shared" si="4"/>
        <v>0</v>
      </c>
      <c r="H40" s="536">
        <f t="shared" si="4"/>
        <v>0</v>
      </c>
      <c r="I40" s="535">
        <f t="shared" si="4"/>
        <v>0</v>
      </c>
      <c r="J40" s="32"/>
      <c r="K40" s="799">
        <f>(G40*H40-J40)*I40</f>
        <v>0</v>
      </c>
    </row>
    <row r="41" spans="1:11">
      <c r="A41" s="546" t="s">
        <v>107</v>
      </c>
      <c r="B41" s="1103">
        <v>0</v>
      </c>
      <c r="C41" s="1104"/>
      <c r="D41" s="1105"/>
      <c r="E41" s="1106"/>
      <c r="F41" s="797">
        <f>(C121*D41)+((B41*C41)-C121)*F122</f>
        <v>0</v>
      </c>
      <c r="G41" s="673">
        <f t="shared" si="4"/>
        <v>0</v>
      </c>
      <c r="H41" s="536">
        <f t="shared" si="4"/>
        <v>0</v>
      </c>
      <c r="I41" s="535">
        <f t="shared" si="4"/>
        <v>0</v>
      </c>
      <c r="J41" s="32"/>
      <c r="K41" s="799">
        <f>(H121*I41)+((G41*H41)-H121)*F122</f>
        <v>0</v>
      </c>
    </row>
    <row r="42" spans="1:11" s="549" customFormat="1" ht="9" customHeight="1">
      <c r="A42" s="547"/>
      <c r="B42" s="538"/>
      <c r="C42" s="539"/>
      <c r="D42" s="540"/>
      <c r="E42" s="548"/>
      <c r="F42" s="539"/>
      <c r="G42" s="542"/>
      <c r="H42" s="543"/>
      <c r="I42" s="539"/>
      <c r="J42" s="544"/>
      <c r="K42" s="545"/>
    </row>
    <row r="43" spans="1:11">
      <c r="A43" s="889" t="s">
        <v>108</v>
      </c>
      <c r="B43" s="890"/>
      <c r="C43" s="884"/>
      <c r="D43" s="885"/>
      <c r="E43" s="892"/>
      <c r="F43" s="884"/>
      <c r="G43" s="839"/>
      <c r="H43" s="886"/>
      <c r="I43" s="884"/>
      <c r="J43" s="887"/>
      <c r="K43" s="888"/>
    </row>
    <row r="44" spans="1:11" ht="15" customHeight="1">
      <c r="A44" s="546" t="s">
        <v>109</v>
      </c>
      <c r="B44" s="1103">
        <v>0</v>
      </c>
      <c r="C44" s="1104"/>
      <c r="D44" s="1105"/>
      <c r="E44" s="550" t="s">
        <v>110</v>
      </c>
      <c r="F44" s="797">
        <f t="shared" ref="F44:F50" si="5">B44*C44*D44</f>
        <v>0</v>
      </c>
      <c r="G44" s="673">
        <f t="shared" ref="G44:I53" si="6">B44</f>
        <v>0</v>
      </c>
      <c r="H44" s="536">
        <f t="shared" si="6"/>
        <v>0</v>
      </c>
      <c r="I44" s="535">
        <f t="shared" si="6"/>
        <v>0</v>
      </c>
      <c r="J44" s="551" t="s">
        <v>110</v>
      </c>
      <c r="K44" s="799">
        <f>G44*H44*I44</f>
        <v>0</v>
      </c>
    </row>
    <row r="45" spans="1:11" ht="15" customHeight="1">
      <c r="A45" s="546" t="s">
        <v>111</v>
      </c>
      <c r="B45" s="1103">
        <v>0</v>
      </c>
      <c r="C45" s="1104"/>
      <c r="D45" s="1105"/>
      <c r="E45" s="550" t="s">
        <v>110</v>
      </c>
      <c r="F45" s="797">
        <f t="shared" si="5"/>
        <v>0</v>
      </c>
      <c r="G45" s="673">
        <f t="shared" si="6"/>
        <v>0</v>
      </c>
      <c r="H45" s="536">
        <f t="shared" si="6"/>
        <v>0</v>
      </c>
      <c r="I45" s="535">
        <f t="shared" si="6"/>
        <v>0</v>
      </c>
      <c r="J45" s="551" t="s">
        <v>110</v>
      </c>
      <c r="K45" s="799">
        <f>G45*H45*I45</f>
        <v>0</v>
      </c>
    </row>
    <row r="46" spans="1:11">
      <c r="A46" s="546" t="s">
        <v>112</v>
      </c>
      <c r="B46" s="1103">
        <v>0</v>
      </c>
      <c r="C46" s="1104"/>
      <c r="D46" s="1105"/>
      <c r="E46" s="550" t="s">
        <v>110</v>
      </c>
      <c r="F46" s="797">
        <f t="shared" si="5"/>
        <v>0</v>
      </c>
      <c r="G46" s="673">
        <f t="shared" si="6"/>
        <v>0</v>
      </c>
      <c r="H46" s="536">
        <f t="shared" si="6"/>
        <v>0</v>
      </c>
      <c r="I46" s="535">
        <f t="shared" si="6"/>
        <v>0</v>
      </c>
      <c r="J46" s="551" t="s">
        <v>110</v>
      </c>
      <c r="K46" s="799">
        <f>G46*H46*I46</f>
        <v>0</v>
      </c>
    </row>
    <row r="47" spans="1:11">
      <c r="A47" s="552" t="s">
        <v>113</v>
      </c>
      <c r="B47" s="1103">
        <v>0</v>
      </c>
      <c r="C47" s="1104"/>
      <c r="D47" s="1105"/>
      <c r="E47" s="553" t="s">
        <v>110</v>
      </c>
      <c r="F47" s="798">
        <f>B47*(C47*D47)</f>
        <v>0</v>
      </c>
      <c r="G47" s="673">
        <f t="shared" si="6"/>
        <v>0</v>
      </c>
      <c r="H47" s="536">
        <f t="shared" si="6"/>
        <v>0</v>
      </c>
      <c r="I47" s="535">
        <f t="shared" si="6"/>
        <v>0</v>
      </c>
      <c r="J47" s="551" t="s">
        <v>110</v>
      </c>
      <c r="K47" s="798">
        <f>G47*(H47*I47)</f>
        <v>0</v>
      </c>
    </row>
    <row r="48" spans="1:11">
      <c r="A48" s="546" t="s">
        <v>114</v>
      </c>
      <c r="B48" s="1103">
        <v>0</v>
      </c>
      <c r="C48" s="1104"/>
      <c r="D48" s="1105"/>
      <c r="E48" s="551" t="s">
        <v>110</v>
      </c>
      <c r="F48" s="799">
        <f>B48*(C48*D48)</f>
        <v>0</v>
      </c>
      <c r="G48" s="673">
        <f t="shared" si="6"/>
        <v>0</v>
      </c>
      <c r="H48" s="536">
        <f t="shared" si="6"/>
        <v>0</v>
      </c>
      <c r="I48" s="535">
        <f t="shared" si="6"/>
        <v>0</v>
      </c>
      <c r="J48" s="551" t="s">
        <v>110</v>
      </c>
      <c r="K48" s="799">
        <f>G48*(H48*I48)</f>
        <v>0</v>
      </c>
    </row>
    <row r="49" spans="1:11">
      <c r="A49" s="546" t="s">
        <v>115</v>
      </c>
      <c r="B49" s="1103">
        <v>0</v>
      </c>
      <c r="C49" s="1104"/>
      <c r="D49" s="1105"/>
      <c r="E49" s="551" t="s">
        <v>110</v>
      </c>
      <c r="F49" s="797">
        <f>B49*(C49*D49)</f>
        <v>0</v>
      </c>
      <c r="G49" s="673">
        <f t="shared" si="6"/>
        <v>0</v>
      </c>
      <c r="H49" s="536">
        <f t="shared" si="6"/>
        <v>0</v>
      </c>
      <c r="I49" s="535">
        <f t="shared" si="6"/>
        <v>0</v>
      </c>
      <c r="J49" s="551" t="s">
        <v>110</v>
      </c>
      <c r="K49" s="799">
        <f>G49*(H49*I49)</f>
        <v>0</v>
      </c>
    </row>
    <row r="50" spans="1:11">
      <c r="A50" s="546" t="s">
        <v>116</v>
      </c>
      <c r="B50" s="1103">
        <v>0</v>
      </c>
      <c r="C50" s="1104"/>
      <c r="D50" s="1105"/>
      <c r="E50" s="551" t="s">
        <v>110</v>
      </c>
      <c r="F50" s="797">
        <f t="shared" si="5"/>
        <v>0</v>
      </c>
      <c r="G50" s="673">
        <f t="shared" si="6"/>
        <v>0</v>
      </c>
      <c r="H50" s="536">
        <f t="shared" si="6"/>
        <v>0</v>
      </c>
      <c r="I50" s="535">
        <f t="shared" si="6"/>
        <v>0</v>
      </c>
      <c r="J50" s="551" t="s">
        <v>110</v>
      </c>
      <c r="K50" s="799">
        <f>G50*H50*I50</f>
        <v>0</v>
      </c>
    </row>
    <row r="51" spans="1:11">
      <c r="A51" s="554"/>
      <c r="B51" s="555"/>
      <c r="C51" s="30"/>
      <c r="D51" s="529"/>
      <c r="E51" s="556"/>
      <c r="F51" s="30"/>
      <c r="G51" s="555"/>
      <c r="H51" s="531"/>
      <c r="I51" s="30"/>
      <c r="J51" s="532"/>
      <c r="K51" s="533"/>
    </row>
    <row r="52" spans="1:11">
      <c r="A52" s="889" t="s">
        <v>117</v>
      </c>
      <c r="B52" s="893"/>
      <c r="C52" s="894"/>
      <c r="D52" s="895"/>
      <c r="E52" s="805"/>
      <c r="F52" s="894"/>
      <c r="G52" s="834">
        <f t="shared" si="6"/>
        <v>0</v>
      </c>
      <c r="H52" s="896"/>
      <c r="I52" s="894"/>
      <c r="J52" s="887"/>
      <c r="K52" s="888"/>
    </row>
    <row r="53" spans="1:11">
      <c r="A53" s="552" t="s">
        <v>118</v>
      </c>
      <c r="B53" s="1103">
        <v>0</v>
      </c>
      <c r="C53" s="1104"/>
      <c r="D53" s="1105"/>
      <c r="E53" s="551" t="s">
        <v>110</v>
      </c>
      <c r="F53" s="797">
        <f>B53*C53*D53</f>
        <v>0</v>
      </c>
      <c r="G53" s="673">
        <f t="shared" si="6"/>
        <v>0</v>
      </c>
      <c r="H53" s="536">
        <f>C53</f>
        <v>0</v>
      </c>
      <c r="I53" s="535">
        <f>D53</f>
        <v>0</v>
      </c>
      <c r="J53" s="551" t="s">
        <v>110</v>
      </c>
      <c r="K53" s="799">
        <f>G53*H53*I53</f>
        <v>0</v>
      </c>
    </row>
    <row r="54" spans="1:11">
      <c r="A54" s="552" t="s">
        <v>119</v>
      </c>
      <c r="B54" s="1103">
        <v>0</v>
      </c>
      <c r="C54" s="1104"/>
      <c r="D54" s="1105"/>
      <c r="E54" s="551" t="s">
        <v>110</v>
      </c>
      <c r="F54" s="797">
        <f>B54*C54*D54</f>
        <v>0</v>
      </c>
      <c r="G54" s="673">
        <f>B54</f>
        <v>0</v>
      </c>
      <c r="H54" s="536">
        <f>C54</f>
        <v>0</v>
      </c>
      <c r="I54" s="535">
        <f>D54</f>
        <v>0</v>
      </c>
      <c r="J54" s="551" t="s">
        <v>110</v>
      </c>
      <c r="K54" s="799">
        <f>G54*H54*I54</f>
        <v>0</v>
      </c>
    </row>
    <row r="55" spans="1:11" s="549" customFormat="1" ht="9" customHeight="1">
      <c r="A55" s="547"/>
      <c r="B55" s="538"/>
      <c r="C55" s="539"/>
      <c r="D55" s="540"/>
      <c r="E55" s="548"/>
      <c r="F55" s="539"/>
      <c r="G55" s="542"/>
      <c r="H55" s="543"/>
      <c r="I55" s="539"/>
      <c r="J55" s="544"/>
      <c r="K55" s="545"/>
    </row>
    <row r="56" spans="1:11">
      <c r="A56" s="889" t="s">
        <v>120</v>
      </c>
      <c r="B56" s="890"/>
      <c r="C56" s="894"/>
      <c r="D56" s="885"/>
      <c r="E56" s="805"/>
      <c r="F56" s="884"/>
      <c r="G56" s="839"/>
      <c r="H56" s="886"/>
      <c r="I56" s="884"/>
      <c r="J56" s="897"/>
      <c r="K56" s="888"/>
    </row>
    <row r="57" spans="1:11" ht="15" customHeight="1">
      <c r="A57" s="554" t="s">
        <v>121</v>
      </c>
      <c r="B57" s="1103">
        <v>0</v>
      </c>
      <c r="C57" s="1104"/>
      <c r="D57" s="1105"/>
      <c r="E57" s="550" t="s">
        <v>110</v>
      </c>
      <c r="F57" s="797">
        <f>B57*C57*D57</f>
        <v>0</v>
      </c>
      <c r="G57" s="673">
        <f t="shared" ref="G57:I58" si="7">B57</f>
        <v>0</v>
      </c>
      <c r="H57" s="536">
        <f t="shared" si="7"/>
        <v>0</v>
      </c>
      <c r="I57" s="535">
        <f t="shared" si="7"/>
        <v>0</v>
      </c>
      <c r="J57" s="551" t="s">
        <v>110</v>
      </c>
      <c r="K57" s="799">
        <f>G57*H57*I57</f>
        <v>0</v>
      </c>
    </row>
    <row r="58" spans="1:11">
      <c r="A58" s="554" t="s">
        <v>122</v>
      </c>
      <c r="B58" s="1103">
        <v>0</v>
      </c>
      <c r="C58" s="1104"/>
      <c r="D58" s="1105"/>
      <c r="E58" s="550" t="s">
        <v>110</v>
      </c>
      <c r="F58" s="797">
        <f>B58*C58*D58</f>
        <v>0</v>
      </c>
      <c r="G58" s="673">
        <f t="shared" si="7"/>
        <v>0</v>
      </c>
      <c r="H58" s="536">
        <f t="shared" si="7"/>
        <v>0</v>
      </c>
      <c r="I58" s="535">
        <f t="shared" si="7"/>
        <v>0</v>
      </c>
      <c r="J58" s="551" t="s">
        <v>110</v>
      </c>
      <c r="K58" s="799">
        <f>G58*H58*I58</f>
        <v>0</v>
      </c>
    </row>
    <row r="59" spans="1:11" s="549" customFormat="1" ht="8.25" customHeight="1">
      <c r="A59" s="547"/>
      <c r="B59" s="538"/>
      <c r="C59" s="539"/>
      <c r="D59" s="540"/>
      <c r="E59" s="548"/>
      <c r="F59" s="539"/>
      <c r="G59" s="542"/>
      <c r="H59" s="543"/>
      <c r="I59" s="539"/>
      <c r="J59" s="544"/>
      <c r="K59" s="545"/>
    </row>
    <row r="60" spans="1:11">
      <c r="A60" s="889" t="s">
        <v>123</v>
      </c>
      <c r="B60" s="890"/>
      <c r="C60" s="884"/>
      <c r="D60" s="885"/>
      <c r="E60" s="805"/>
      <c r="F60" s="884"/>
      <c r="G60" s="839"/>
      <c r="H60" s="886"/>
      <c r="I60" s="884"/>
      <c r="J60" s="897"/>
      <c r="K60" s="888"/>
    </row>
    <row r="61" spans="1:11" ht="15" customHeight="1">
      <c r="A61" s="554" t="s">
        <v>124</v>
      </c>
      <c r="B61" s="1107">
        <v>0</v>
      </c>
      <c r="C61" s="1104"/>
      <c r="D61" s="1105"/>
      <c r="E61" s="550" t="s">
        <v>110</v>
      </c>
      <c r="F61" s="797">
        <f>B61*C61*D61</f>
        <v>0</v>
      </c>
      <c r="G61" s="673">
        <f t="shared" ref="G61:I63" si="8">B61</f>
        <v>0</v>
      </c>
      <c r="H61" s="536">
        <f t="shared" si="8"/>
        <v>0</v>
      </c>
      <c r="I61" s="535">
        <f t="shared" si="8"/>
        <v>0</v>
      </c>
      <c r="J61" s="551" t="s">
        <v>110</v>
      </c>
      <c r="K61" s="799">
        <f>G61*H61*I61</f>
        <v>0</v>
      </c>
    </row>
    <row r="62" spans="1:11" ht="15" customHeight="1">
      <c r="A62" s="554" t="s">
        <v>126</v>
      </c>
      <c r="B62" s="1107">
        <v>0</v>
      </c>
      <c r="C62" s="1104"/>
      <c r="D62" s="1105"/>
      <c r="E62" s="550" t="s">
        <v>110</v>
      </c>
      <c r="F62" s="797">
        <f>B62*C62*D62</f>
        <v>0</v>
      </c>
      <c r="G62" s="673">
        <f t="shared" si="8"/>
        <v>0</v>
      </c>
      <c r="H62" s="536">
        <f t="shared" si="8"/>
        <v>0</v>
      </c>
      <c r="I62" s="535">
        <f t="shared" si="8"/>
        <v>0</v>
      </c>
      <c r="J62" s="551" t="s">
        <v>110</v>
      </c>
      <c r="K62" s="799">
        <f>G62*H62*I62</f>
        <v>0</v>
      </c>
    </row>
    <row r="63" spans="1:11" ht="12" thickBot="1">
      <c r="A63" s="554" t="s">
        <v>127</v>
      </c>
      <c r="B63" s="1107">
        <v>0</v>
      </c>
      <c r="C63" s="1104"/>
      <c r="D63" s="1105"/>
      <c r="E63" s="551" t="s">
        <v>110</v>
      </c>
      <c r="F63" s="797">
        <f>B63*C63*D63</f>
        <v>0</v>
      </c>
      <c r="G63" s="673">
        <f t="shared" si="8"/>
        <v>0</v>
      </c>
      <c r="H63" s="536">
        <f t="shared" si="8"/>
        <v>0</v>
      </c>
      <c r="I63" s="535">
        <f t="shared" si="8"/>
        <v>0</v>
      </c>
      <c r="J63" s="551" t="s">
        <v>110</v>
      </c>
      <c r="K63" s="799">
        <f>G63*H63*I63</f>
        <v>0</v>
      </c>
    </row>
    <row r="64" spans="1:11" ht="16.5" customHeight="1" thickBot="1">
      <c r="A64" s="898" t="s">
        <v>128</v>
      </c>
      <c r="B64" s="778">
        <f>SUM(B25:B58)</f>
        <v>0</v>
      </c>
      <c r="C64" s="899" t="s">
        <v>129</v>
      </c>
      <c r="D64" s="900" t="s">
        <v>130</v>
      </c>
      <c r="E64" s="856" t="s">
        <v>129</v>
      </c>
      <c r="F64" s="800">
        <f>SUM(F25:F63)</f>
        <v>0</v>
      </c>
      <c r="G64" s="785">
        <f>SUM(G25:G58)</f>
        <v>0</v>
      </c>
      <c r="H64" s="901" t="str">
        <f>C64</f>
        <v>---------</v>
      </c>
      <c r="I64" s="900" t="str">
        <f>D64</f>
        <v>-------</v>
      </c>
      <c r="J64" s="856" t="s">
        <v>129</v>
      </c>
      <c r="K64" s="801">
        <f>SUM(K25:K63)</f>
        <v>0</v>
      </c>
    </row>
    <row r="65" spans="1:11">
      <c r="A65" s="768"/>
      <c r="B65" s="767"/>
      <c r="C65" s="767"/>
      <c r="D65" s="767"/>
      <c r="E65" s="767"/>
      <c r="F65" s="843" t="s">
        <v>1249</v>
      </c>
      <c r="G65" s="1406" t="e">
        <f>XONNOM &amp; " " &amp; XONPRE &amp; ", " &amp; TEXT(XONCP,"@@@@") &amp; " " &amp; XONLOC</f>
        <v>#VALUE!</v>
      </c>
      <c r="H65" s="1406"/>
      <c r="I65" s="1406"/>
      <c r="J65" s="1406"/>
      <c r="K65" s="1406"/>
    </row>
    <row r="66" spans="1:11">
      <c r="A66" s="768"/>
      <c r="B66" s="767"/>
      <c r="C66" s="767"/>
      <c r="D66" s="902"/>
      <c r="E66" s="902"/>
      <c r="F66" s="843" t="s">
        <v>68</v>
      </c>
      <c r="G66" s="1411">
        <f>J6</f>
        <v>0</v>
      </c>
      <c r="H66" s="1411"/>
      <c r="I66" s="903"/>
      <c r="J66" s="903"/>
      <c r="K66" s="767"/>
    </row>
    <row r="67" spans="1:11">
      <c r="A67" s="862" t="s">
        <v>1127</v>
      </c>
      <c r="B67" s="767"/>
      <c r="C67" s="767"/>
      <c r="D67" s="767"/>
      <c r="E67" s="767"/>
      <c r="F67" s="767"/>
      <c r="G67" s="767"/>
      <c r="H67" s="768"/>
      <c r="I67" s="767"/>
      <c r="J67" s="767"/>
      <c r="K67" s="767"/>
    </row>
    <row r="68" spans="1:11" ht="12" thickBot="1">
      <c r="A68" s="768"/>
      <c r="B68" s="767"/>
      <c r="C68" s="767"/>
      <c r="D68" s="767"/>
      <c r="E68" s="767"/>
      <c r="F68" s="767"/>
      <c r="G68" s="767"/>
      <c r="H68" s="768"/>
      <c r="I68" s="767"/>
      <c r="J68" s="767"/>
      <c r="K68" s="767"/>
    </row>
    <row r="69" spans="1:11" ht="12" thickBot="1">
      <c r="A69" s="904"/>
      <c r="B69" s="905" t="s">
        <v>82</v>
      </c>
      <c r="C69" s="906"/>
      <c r="D69" s="906"/>
      <c r="E69" s="906"/>
      <c r="F69" s="907"/>
      <c r="G69" s="905" t="s">
        <v>83</v>
      </c>
      <c r="H69" s="908"/>
      <c r="I69" s="906"/>
      <c r="J69" s="906"/>
      <c r="K69" s="907"/>
    </row>
    <row r="70" spans="1:11">
      <c r="A70" s="909" t="s">
        <v>131</v>
      </c>
      <c r="B70" s="910"/>
      <c r="C70" s="911">
        <f>SUM(B74:B78)+SUM(B82:B85)</f>
        <v>0</v>
      </c>
      <c r="D70" s="912" t="s">
        <v>857</v>
      </c>
      <c r="E70" s="912"/>
      <c r="F70" s="913"/>
      <c r="G70" s="840"/>
      <c r="H70" s="914">
        <f>SUM(G74:G78)+SUM(G82:G85)</f>
        <v>0</v>
      </c>
      <c r="I70" s="915" t="s">
        <v>857</v>
      </c>
      <c r="J70" s="915"/>
      <c r="K70" s="916"/>
    </row>
    <row r="71" spans="1:11" ht="12" thickBot="1">
      <c r="A71" s="917" t="s">
        <v>133</v>
      </c>
      <c r="B71" s="841"/>
      <c r="C71" s="918">
        <f>B79+B80+B86+B87</f>
        <v>0</v>
      </c>
      <c r="D71" s="919" t="s">
        <v>857</v>
      </c>
      <c r="E71" s="919"/>
      <c r="F71" s="920"/>
      <c r="G71" s="841"/>
      <c r="H71" s="921">
        <f>G79+G80+G86+G87</f>
        <v>0</v>
      </c>
      <c r="I71" s="919" t="s">
        <v>857</v>
      </c>
      <c r="J71" s="919"/>
      <c r="K71" s="920"/>
    </row>
    <row r="72" spans="1:11">
      <c r="A72" s="922" t="s">
        <v>84</v>
      </c>
      <c r="B72" s="870" t="s">
        <v>85</v>
      </c>
      <c r="C72" s="871" t="s">
        <v>86</v>
      </c>
      <c r="D72" s="871" t="s">
        <v>87</v>
      </c>
      <c r="E72" s="871" t="s">
        <v>259</v>
      </c>
      <c r="F72" s="871" t="s">
        <v>89</v>
      </c>
      <c r="G72" s="870" t="s">
        <v>85</v>
      </c>
      <c r="H72" s="872" t="s">
        <v>86</v>
      </c>
      <c r="I72" s="871" t="s">
        <v>87</v>
      </c>
      <c r="J72" s="871" t="s">
        <v>259</v>
      </c>
      <c r="K72" s="873" t="s">
        <v>89</v>
      </c>
    </row>
    <row r="73" spans="1:11" ht="12" thickBot="1">
      <c r="A73" s="874" t="s">
        <v>90</v>
      </c>
      <c r="B73" s="875" t="s">
        <v>1168</v>
      </c>
      <c r="C73" s="876" t="s">
        <v>1169</v>
      </c>
      <c r="D73" s="877" t="s">
        <v>1165</v>
      </c>
      <c r="E73" s="878" t="s">
        <v>1166</v>
      </c>
      <c r="F73" s="879" t="s">
        <v>1167</v>
      </c>
      <c r="G73" s="875" t="s">
        <v>1168</v>
      </c>
      <c r="H73" s="880" t="s">
        <v>1169</v>
      </c>
      <c r="I73" s="877" t="s">
        <v>1165</v>
      </c>
      <c r="J73" s="878" t="s">
        <v>1166</v>
      </c>
      <c r="K73" s="881" t="s">
        <v>1167</v>
      </c>
    </row>
    <row r="74" spans="1:11">
      <c r="A74" s="558" t="s">
        <v>135</v>
      </c>
      <c r="B74" s="1108"/>
      <c r="C74" s="568" t="s">
        <v>136</v>
      </c>
      <c r="D74" s="568" t="s">
        <v>136</v>
      </c>
      <c r="E74" s="568" t="s">
        <v>137</v>
      </c>
      <c r="F74" s="568" t="s">
        <v>137</v>
      </c>
      <c r="G74" s="1220">
        <f>B74</f>
        <v>0</v>
      </c>
      <c r="H74" s="569" t="str">
        <f>C74</f>
        <v>-------------</v>
      </c>
      <c r="I74" s="570" t="s">
        <v>136</v>
      </c>
      <c r="J74" s="570" t="s">
        <v>137</v>
      </c>
      <c r="K74" s="571" t="s">
        <v>137</v>
      </c>
    </row>
    <row r="75" spans="1:11">
      <c r="A75" s="572" t="s">
        <v>138</v>
      </c>
      <c r="B75" s="1103"/>
      <c r="C75" s="1106"/>
      <c r="D75" s="1106"/>
      <c r="E75" s="1106"/>
      <c r="F75" s="799">
        <f>D75*E75</f>
        <v>0</v>
      </c>
      <c r="G75" s="1221">
        <f>B75</f>
        <v>0</v>
      </c>
      <c r="H75" s="574">
        <f>C75</f>
        <v>0</v>
      </c>
      <c r="I75" s="574">
        <f>D75</f>
        <v>0</v>
      </c>
      <c r="J75" s="573"/>
      <c r="K75" s="799">
        <f>I75*J75</f>
        <v>0</v>
      </c>
    </row>
    <row r="76" spans="1:11">
      <c r="A76" s="575"/>
      <c r="B76" s="538"/>
      <c r="C76" s="541"/>
      <c r="D76" s="548"/>
      <c r="E76" s="548"/>
      <c r="F76" s="576"/>
      <c r="G76" s="577"/>
      <c r="H76" s="578"/>
      <c r="I76" s="548"/>
      <c r="J76" s="548"/>
      <c r="K76" s="576"/>
    </row>
    <row r="77" spans="1:11">
      <c r="A77" s="579" t="s">
        <v>139</v>
      </c>
      <c r="B77" s="1103"/>
      <c r="C77" s="1106"/>
      <c r="D77" s="1106"/>
      <c r="E77" s="1106"/>
      <c r="F77" s="799">
        <f>D77*E77</f>
        <v>0</v>
      </c>
      <c r="G77" s="1221">
        <f t="shared" ref="G77:I80" si="9">B77</f>
        <v>0</v>
      </c>
      <c r="H77" s="574">
        <f t="shared" si="9"/>
        <v>0</v>
      </c>
      <c r="I77" s="574">
        <f t="shared" si="9"/>
        <v>0</v>
      </c>
      <c r="J77" s="573"/>
      <c r="K77" s="799">
        <f>I77*J77</f>
        <v>0</v>
      </c>
    </row>
    <row r="78" spans="1:11">
      <c r="A78" s="572" t="s">
        <v>140</v>
      </c>
      <c r="B78" s="1103"/>
      <c r="C78" s="1106"/>
      <c r="D78" s="1106"/>
      <c r="E78" s="1106"/>
      <c r="F78" s="799">
        <f>D78*E78</f>
        <v>0</v>
      </c>
      <c r="G78" s="1221">
        <f t="shared" si="9"/>
        <v>0</v>
      </c>
      <c r="H78" s="574">
        <f t="shared" si="9"/>
        <v>0</v>
      </c>
      <c r="I78" s="574">
        <f t="shared" si="9"/>
        <v>0</v>
      </c>
      <c r="J78" s="573"/>
      <c r="K78" s="799">
        <f>I78*J78</f>
        <v>0</v>
      </c>
    </row>
    <row r="79" spans="1:11">
      <c r="A79" s="572" t="s">
        <v>141</v>
      </c>
      <c r="B79" s="1103"/>
      <c r="C79" s="1106"/>
      <c r="D79" s="1106"/>
      <c r="E79" s="1106"/>
      <c r="F79" s="799">
        <f>D79*E79</f>
        <v>0</v>
      </c>
      <c r="G79" s="1221">
        <f t="shared" si="9"/>
        <v>0</v>
      </c>
      <c r="H79" s="574">
        <f t="shared" si="9"/>
        <v>0</v>
      </c>
      <c r="I79" s="574">
        <f t="shared" si="9"/>
        <v>0</v>
      </c>
      <c r="J79" s="573"/>
      <c r="K79" s="799">
        <f>I79*J79</f>
        <v>0</v>
      </c>
    </row>
    <row r="80" spans="1:11">
      <c r="A80" s="572" t="s">
        <v>142</v>
      </c>
      <c r="B80" s="1103"/>
      <c r="C80" s="1106"/>
      <c r="D80" s="1106"/>
      <c r="E80" s="1106"/>
      <c r="F80" s="799">
        <f>D80*E80</f>
        <v>0</v>
      </c>
      <c r="G80" s="1221">
        <f t="shared" si="9"/>
        <v>0</v>
      </c>
      <c r="H80" s="574">
        <f t="shared" si="9"/>
        <v>0</v>
      </c>
      <c r="I80" s="574">
        <f t="shared" si="9"/>
        <v>0</v>
      </c>
      <c r="J80" s="573"/>
      <c r="K80" s="799">
        <f>I80*J80</f>
        <v>0</v>
      </c>
    </row>
    <row r="81" spans="1:11">
      <c r="A81" s="575"/>
      <c r="B81" s="538"/>
      <c r="C81" s="541"/>
      <c r="D81" s="548"/>
      <c r="E81" s="548"/>
      <c r="F81" s="576"/>
      <c r="G81" s="577"/>
      <c r="H81" s="578"/>
      <c r="I81" s="578"/>
      <c r="J81" s="548"/>
      <c r="K81" s="576"/>
    </row>
    <row r="82" spans="1:11">
      <c r="A82" s="572" t="s">
        <v>143</v>
      </c>
      <c r="B82" s="1103"/>
      <c r="C82" s="1106"/>
      <c r="D82" s="1106"/>
      <c r="E82" s="1106"/>
      <c r="F82" s="799">
        <f>D82*E82</f>
        <v>0</v>
      </c>
      <c r="G82" s="1221">
        <f t="shared" ref="G82:I83" si="10">B82</f>
        <v>0</v>
      </c>
      <c r="H82" s="574">
        <f t="shared" si="10"/>
        <v>0</v>
      </c>
      <c r="I82" s="574">
        <f t="shared" si="10"/>
        <v>0</v>
      </c>
      <c r="J82" s="573"/>
      <c r="K82" s="799">
        <f>I82*J82</f>
        <v>0</v>
      </c>
    </row>
    <row r="83" spans="1:11">
      <c r="A83" s="572" t="s">
        <v>144</v>
      </c>
      <c r="B83" s="1103"/>
      <c r="C83" s="1106"/>
      <c r="D83" s="1106"/>
      <c r="E83" s="1106"/>
      <c r="F83" s="799">
        <f>D83*E83</f>
        <v>0</v>
      </c>
      <c r="G83" s="1221">
        <f t="shared" si="10"/>
        <v>0</v>
      </c>
      <c r="H83" s="574">
        <f t="shared" si="10"/>
        <v>0</v>
      </c>
      <c r="I83" s="574">
        <f t="shared" si="10"/>
        <v>0</v>
      </c>
      <c r="J83" s="573"/>
      <c r="K83" s="799">
        <f>I83*J83</f>
        <v>0</v>
      </c>
    </row>
    <row r="84" spans="1:11">
      <c r="A84" s="575"/>
      <c r="B84" s="538"/>
      <c r="C84" s="541"/>
      <c r="D84" s="548"/>
      <c r="E84" s="548"/>
      <c r="F84" s="576"/>
      <c r="G84" s="577"/>
      <c r="H84" s="578"/>
      <c r="I84" s="578"/>
      <c r="J84" s="548"/>
      <c r="K84" s="576"/>
    </row>
    <row r="85" spans="1:11">
      <c r="A85" s="572" t="s">
        <v>145</v>
      </c>
      <c r="B85" s="1103"/>
      <c r="C85" s="1106"/>
      <c r="D85" s="1106"/>
      <c r="E85" s="1106"/>
      <c r="F85" s="799">
        <f>D85*E85</f>
        <v>0</v>
      </c>
      <c r="G85" s="1221">
        <f t="shared" ref="G85:I87" si="11">B85</f>
        <v>0</v>
      </c>
      <c r="H85" s="574">
        <f t="shared" si="11"/>
        <v>0</v>
      </c>
      <c r="I85" s="574">
        <f t="shared" si="11"/>
        <v>0</v>
      </c>
      <c r="J85" s="573"/>
      <c r="K85" s="799">
        <f>I85*J85</f>
        <v>0</v>
      </c>
    </row>
    <row r="86" spans="1:11">
      <c r="A86" s="572" t="s">
        <v>146</v>
      </c>
      <c r="B86" s="1103"/>
      <c r="C86" s="1106"/>
      <c r="D86" s="1106"/>
      <c r="E86" s="1106"/>
      <c r="F86" s="799">
        <f>D86*E86</f>
        <v>0</v>
      </c>
      <c r="G86" s="1221">
        <f t="shared" si="11"/>
        <v>0</v>
      </c>
      <c r="H86" s="574">
        <f t="shared" si="11"/>
        <v>0</v>
      </c>
      <c r="I86" s="574">
        <f t="shared" si="11"/>
        <v>0</v>
      </c>
      <c r="J86" s="573"/>
      <c r="K86" s="799">
        <f>I86*J86</f>
        <v>0</v>
      </c>
    </row>
    <row r="87" spans="1:11" ht="12" thickBot="1">
      <c r="A87" s="572" t="s">
        <v>1109</v>
      </c>
      <c r="B87" s="1103"/>
      <c r="C87" s="1106"/>
      <c r="D87" s="1106"/>
      <c r="E87" s="1106"/>
      <c r="F87" s="799">
        <f>D87*E87</f>
        <v>0</v>
      </c>
      <c r="G87" s="1221">
        <f t="shared" si="11"/>
        <v>0</v>
      </c>
      <c r="H87" s="574">
        <f t="shared" si="11"/>
        <v>0</v>
      </c>
      <c r="I87" s="574">
        <f t="shared" si="11"/>
        <v>0</v>
      </c>
      <c r="J87" s="573"/>
      <c r="K87" s="29"/>
    </row>
    <row r="88" spans="1:11" ht="16.5" customHeight="1" thickBot="1">
      <c r="A88" s="923" t="s">
        <v>128</v>
      </c>
      <c r="B88" s="778">
        <f>SUM(B74:B87)</f>
        <v>0</v>
      </c>
      <c r="C88" s="856" t="s">
        <v>125</v>
      </c>
      <c r="D88" s="856" t="s">
        <v>148</v>
      </c>
      <c r="E88" s="856" t="s">
        <v>129</v>
      </c>
      <c r="F88" s="801">
        <f>SUM(F74:F87)</f>
        <v>0</v>
      </c>
      <c r="G88" s="778">
        <f>SUM(G74:G87)</f>
        <v>0</v>
      </c>
      <c r="H88" s="924" t="str">
        <f>C88</f>
        <v>----------</v>
      </c>
      <c r="I88" s="925" t="str">
        <f>D88</f>
        <v>--------</v>
      </c>
      <c r="J88" s="925" t="str">
        <f>E88</f>
        <v>---------</v>
      </c>
      <c r="K88" s="801">
        <f>SUM(K74:K87)</f>
        <v>0</v>
      </c>
    </row>
    <row r="89" spans="1:11">
      <c r="A89" s="914"/>
      <c r="B89" s="915"/>
      <c r="C89" s="915"/>
      <c r="D89" s="915"/>
      <c r="E89" s="915"/>
      <c r="F89" s="915"/>
      <c r="G89" s="915"/>
      <c r="H89" s="914"/>
      <c r="I89" s="915"/>
      <c r="J89" s="915"/>
      <c r="K89" s="915"/>
    </row>
    <row r="90" spans="1:11">
      <c r="A90" s="1172" t="s">
        <v>1251</v>
      </c>
      <c r="B90" s="927"/>
      <c r="C90" s="927"/>
      <c r="D90" s="927"/>
      <c r="E90" s="927"/>
      <c r="F90" s="927"/>
      <c r="G90" s="927"/>
      <c r="H90" s="928"/>
      <c r="I90" s="927"/>
      <c r="J90" s="927"/>
      <c r="K90" s="927"/>
    </row>
    <row r="91" spans="1:11" ht="12" thickBot="1">
      <c r="A91" s="928"/>
      <c r="B91" s="927"/>
      <c r="C91" s="927"/>
      <c r="D91" s="927"/>
      <c r="E91" s="927"/>
      <c r="F91" s="927"/>
      <c r="G91" s="927"/>
      <c r="H91" s="928"/>
      <c r="I91" s="927"/>
      <c r="J91" s="927"/>
      <c r="K91" s="927"/>
    </row>
    <row r="92" spans="1:11" ht="12" thickBot="1">
      <c r="A92" s="929"/>
      <c r="B92" s="930" t="s">
        <v>82</v>
      </c>
      <c r="C92" s="931"/>
      <c r="D92" s="931"/>
      <c r="E92" s="931"/>
      <c r="F92" s="932"/>
      <c r="G92" s="930" t="s">
        <v>83</v>
      </c>
      <c r="H92" s="933"/>
      <c r="I92" s="931"/>
      <c r="J92" s="931"/>
      <c r="K92" s="932"/>
    </row>
    <row r="93" spans="1:11">
      <c r="A93" s="580" t="s">
        <v>149</v>
      </c>
      <c r="B93" s="581"/>
      <c r="C93" s="582"/>
      <c r="D93" s="582"/>
      <c r="E93" s="582"/>
      <c r="F93" s="583"/>
      <c r="G93" s="581"/>
      <c r="H93" s="582"/>
      <c r="I93" s="582"/>
      <c r="J93" s="582"/>
      <c r="K93" s="583"/>
    </row>
    <row r="94" spans="1:11">
      <c r="A94" s="584" t="s">
        <v>150</v>
      </c>
      <c r="B94" s="1374"/>
      <c r="C94" s="585" t="s">
        <v>857</v>
      </c>
      <c r="D94" s="1104"/>
      <c r="E94" s="585" t="s">
        <v>1170</v>
      </c>
      <c r="F94" s="802">
        <f>B94*D94</f>
        <v>0</v>
      </c>
      <c r="G94" s="1368">
        <f>B94</f>
        <v>0</v>
      </c>
      <c r="H94" s="585" t="str">
        <f>C94</f>
        <v>ha</v>
      </c>
      <c r="I94" s="586"/>
      <c r="J94" s="585" t="str">
        <f>E94</f>
        <v>EUR/ha</v>
      </c>
      <c r="K94" s="802">
        <f>G94*I94</f>
        <v>0</v>
      </c>
    </row>
    <row r="95" spans="1:11">
      <c r="A95" s="584" t="s">
        <v>151</v>
      </c>
      <c r="B95" s="1374"/>
      <c r="C95" s="585" t="s">
        <v>857</v>
      </c>
      <c r="D95" s="1104"/>
      <c r="E95" s="585" t="s">
        <v>1170</v>
      </c>
      <c r="F95" s="802">
        <f>B95*D95</f>
        <v>0</v>
      </c>
      <c r="G95" s="1368">
        <f>B95</f>
        <v>0</v>
      </c>
      <c r="H95" s="585" t="str">
        <f t="shared" ref="H95:H106" si="12">C95</f>
        <v>ha</v>
      </c>
      <c r="I95" s="586"/>
      <c r="J95" s="585" t="str">
        <f>E95</f>
        <v>EUR/ha</v>
      </c>
      <c r="K95" s="802">
        <f>G95*I95</f>
        <v>0</v>
      </c>
    </row>
    <row r="96" spans="1:11">
      <c r="A96" s="587"/>
      <c r="B96" s="1369"/>
      <c r="C96" s="585"/>
      <c r="D96" s="31"/>
      <c r="E96" s="585"/>
      <c r="F96" s="589"/>
      <c r="G96" s="1369"/>
      <c r="H96" s="585">
        <f t="shared" si="12"/>
        <v>0</v>
      </c>
      <c r="I96" s="585"/>
      <c r="J96" s="585"/>
      <c r="K96" s="589"/>
    </row>
    <row r="97" spans="1:14">
      <c r="A97" s="590" t="s">
        <v>152</v>
      </c>
      <c r="B97" s="1369"/>
      <c r="C97" s="585"/>
      <c r="D97" s="31"/>
      <c r="E97" s="585"/>
      <c r="F97" s="589"/>
      <c r="G97" s="1369"/>
      <c r="H97" s="585">
        <f t="shared" si="12"/>
        <v>0</v>
      </c>
      <c r="I97" s="585"/>
      <c r="J97" s="585"/>
      <c r="K97" s="589"/>
    </row>
    <row r="98" spans="1:14">
      <c r="A98" s="584" t="s">
        <v>153</v>
      </c>
      <c r="B98" s="1374"/>
      <c r="C98" s="585" t="s">
        <v>857</v>
      </c>
      <c r="D98" s="1104"/>
      <c r="E98" s="585" t="s">
        <v>1170</v>
      </c>
      <c r="F98" s="802">
        <f>B98*D98</f>
        <v>0</v>
      </c>
      <c r="G98" s="1368"/>
      <c r="H98" s="585" t="str">
        <f t="shared" si="12"/>
        <v>ha</v>
      </c>
      <c r="I98" s="586"/>
      <c r="J98" s="585" t="str">
        <f>E98</f>
        <v>EUR/ha</v>
      </c>
      <c r="K98" s="802">
        <f>G98*I98</f>
        <v>0</v>
      </c>
    </row>
    <row r="99" spans="1:14">
      <c r="A99" s="584" t="s">
        <v>113</v>
      </c>
      <c r="B99" s="1374"/>
      <c r="C99" s="585" t="s">
        <v>857</v>
      </c>
      <c r="D99" s="1104"/>
      <c r="E99" s="585" t="s">
        <v>1170</v>
      </c>
      <c r="F99" s="802">
        <f>B99*D99</f>
        <v>0</v>
      </c>
      <c r="G99" s="1368"/>
      <c r="H99" s="585" t="str">
        <f t="shared" si="12"/>
        <v>ha</v>
      </c>
      <c r="I99" s="586"/>
      <c r="J99" s="585" t="str">
        <f>E99</f>
        <v>EUR/ha</v>
      </c>
      <c r="K99" s="802">
        <f>G99*I99</f>
        <v>0</v>
      </c>
    </row>
    <row r="100" spans="1:14">
      <c r="A100" s="934" t="s">
        <v>154</v>
      </c>
      <c r="B100" s="1370">
        <f>SUM(B94:B99)</f>
        <v>0</v>
      </c>
      <c r="C100" s="592" t="s">
        <v>857</v>
      </c>
      <c r="D100" s="593"/>
      <c r="E100" s="592"/>
      <c r="F100" s="803">
        <f>SUM(F94:F99)</f>
        <v>0</v>
      </c>
      <c r="G100" s="1370">
        <f>SUM(G94:G99)</f>
        <v>0</v>
      </c>
      <c r="H100" s="592" t="str">
        <f t="shared" si="12"/>
        <v>ha</v>
      </c>
      <c r="I100" s="592"/>
      <c r="J100" s="592"/>
      <c r="K100" s="803">
        <f>SUM(K94:K99)</f>
        <v>0</v>
      </c>
    </row>
    <row r="101" spans="1:14">
      <c r="A101" s="591" t="s">
        <v>155</v>
      </c>
      <c r="B101" s="1375"/>
      <c r="C101" s="592" t="s">
        <v>857</v>
      </c>
      <c r="D101" s="1109"/>
      <c r="E101" s="592" t="s">
        <v>1170</v>
      </c>
      <c r="F101" s="803">
        <f>B101*D101</f>
        <v>0</v>
      </c>
      <c r="G101" s="1370">
        <f>B101</f>
        <v>0</v>
      </c>
      <c r="H101" s="592" t="str">
        <f t="shared" si="12"/>
        <v>ha</v>
      </c>
      <c r="I101" s="594">
        <f>D101</f>
        <v>0</v>
      </c>
      <c r="J101" s="592" t="str">
        <f>E101</f>
        <v>EUR/ha</v>
      </c>
      <c r="K101" s="803">
        <f>G101*I101</f>
        <v>0</v>
      </c>
    </row>
    <row r="102" spans="1:14">
      <c r="A102" s="587"/>
      <c r="B102" s="1369"/>
      <c r="C102" s="585"/>
      <c r="D102" s="31"/>
      <c r="E102" s="585"/>
      <c r="F102" s="589"/>
      <c r="G102" s="1369"/>
      <c r="H102" s="585">
        <f t="shared" si="12"/>
        <v>0</v>
      </c>
      <c r="I102" s="585"/>
      <c r="J102" s="585"/>
      <c r="K102" s="589"/>
    </row>
    <row r="103" spans="1:14">
      <c r="A103" s="590" t="s">
        <v>156</v>
      </c>
      <c r="B103" s="1369"/>
      <c r="C103" s="585"/>
      <c r="D103" s="31"/>
      <c r="E103" s="585"/>
      <c r="F103" s="595"/>
      <c r="G103" s="1369"/>
      <c r="H103" s="585">
        <f t="shared" si="12"/>
        <v>0</v>
      </c>
      <c r="I103" s="585"/>
      <c r="J103" s="585"/>
      <c r="K103" s="589"/>
    </row>
    <row r="104" spans="1:14">
      <c r="A104" s="587" t="s">
        <v>1215</v>
      </c>
      <c r="B104" s="1369"/>
      <c r="C104" s="585"/>
      <c r="D104" s="31"/>
      <c r="E104" s="585"/>
      <c r="F104" s="1397"/>
      <c r="G104" s="1369">
        <f t="shared" ref="G104:I106" si="13">B104</f>
        <v>0</v>
      </c>
      <c r="H104" s="585"/>
      <c r="I104" s="31">
        <f t="shared" si="13"/>
        <v>0</v>
      </c>
      <c r="J104" s="585">
        <f t="shared" ref="J104:K106" si="14">E104</f>
        <v>0</v>
      </c>
      <c r="K104" s="1396"/>
    </row>
    <row r="105" spans="1:14">
      <c r="A105" s="587" t="s">
        <v>1216</v>
      </c>
      <c r="B105" s="1369"/>
      <c r="C105" s="585"/>
      <c r="D105" s="31"/>
      <c r="E105" s="585"/>
      <c r="F105" s="1397"/>
      <c r="G105" s="1369">
        <f t="shared" si="13"/>
        <v>0</v>
      </c>
      <c r="H105" s="585">
        <f t="shared" si="12"/>
        <v>0</v>
      </c>
      <c r="I105" s="31">
        <f t="shared" si="13"/>
        <v>0</v>
      </c>
      <c r="J105" s="585">
        <f t="shared" si="14"/>
        <v>0</v>
      </c>
      <c r="K105" s="1396"/>
    </row>
    <row r="106" spans="1:14">
      <c r="A106" s="587"/>
      <c r="B106" s="1369"/>
      <c r="C106" s="585"/>
      <c r="D106" s="31"/>
      <c r="E106" s="585"/>
      <c r="F106" s="589">
        <f>D106*B106</f>
        <v>0</v>
      </c>
      <c r="G106" s="1371">
        <f t="shared" si="13"/>
        <v>0</v>
      </c>
      <c r="H106" s="585">
        <f t="shared" si="12"/>
        <v>0</v>
      </c>
      <c r="I106" s="31">
        <f t="shared" si="13"/>
        <v>0</v>
      </c>
      <c r="J106" s="585">
        <f t="shared" si="14"/>
        <v>0</v>
      </c>
      <c r="K106" s="589">
        <f t="shared" si="14"/>
        <v>0</v>
      </c>
    </row>
    <row r="107" spans="1:14">
      <c r="A107" s="587"/>
      <c r="B107" s="1369"/>
      <c r="C107" s="585"/>
      <c r="D107" s="31"/>
      <c r="E107" s="585"/>
      <c r="F107" s="589"/>
      <c r="G107" s="1371">
        <f>B107</f>
        <v>0</v>
      </c>
      <c r="H107" s="585"/>
      <c r="I107" s="31"/>
      <c r="J107" s="585"/>
      <c r="K107" s="589">
        <f>F107</f>
        <v>0</v>
      </c>
    </row>
    <row r="108" spans="1:14">
      <c r="A108" s="596"/>
      <c r="B108" s="1369"/>
      <c r="C108" s="585"/>
      <c r="D108" s="31"/>
      <c r="E108" s="585"/>
      <c r="F108" s="589"/>
      <c r="G108" s="1371">
        <f>B108</f>
        <v>0</v>
      </c>
      <c r="H108" s="585"/>
      <c r="I108" s="31"/>
      <c r="J108" s="585"/>
      <c r="K108" s="589">
        <f>F108</f>
        <v>0</v>
      </c>
    </row>
    <row r="109" spans="1:14" ht="12" thickBot="1">
      <c r="A109" s="938" t="s">
        <v>157</v>
      </c>
      <c r="B109" s="1372"/>
      <c r="C109" s="939"/>
      <c r="D109" s="939"/>
      <c r="E109" s="939"/>
      <c r="F109" s="804">
        <f>SUM(F104:F108)</f>
        <v>0</v>
      </c>
      <c r="G109" s="1372"/>
      <c r="H109" s="940"/>
      <c r="I109" s="939"/>
      <c r="J109" s="939"/>
      <c r="K109" s="844">
        <f>SUM(K104:K108)</f>
        <v>0</v>
      </c>
    </row>
    <row r="110" spans="1:14" ht="16.5" customHeight="1" thickBot="1">
      <c r="A110" s="935" t="s">
        <v>128</v>
      </c>
      <c r="B110" s="1373">
        <f>SUM(B100:B101)</f>
        <v>0</v>
      </c>
      <c r="C110" s="936" t="s">
        <v>857</v>
      </c>
      <c r="D110" s="936"/>
      <c r="E110" s="936"/>
      <c r="F110" s="835">
        <f>F88+F100+F101+F109</f>
        <v>0</v>
      </c>
      <c r="G110" s="1373">
        <f>SUM(G100:G101)</f>
        <v>0</v>
      </c>
      <c r="H110" s="937" t="s">
        <v>857</v>
      </c>
      <c r="I110" s="936"/>
      <c r="J110" s="936"/>
      <c r="K110" s="835">
        <f>K88+K100+K101+K109</f>
        <v>0</v>
      </c>
      <c r="N110" s="597"/>
    </row>
    <row r="111" spans="1:14">
      <c r="A111" s="941"/>
      <c r="B111" s="915"/>
      <c r="C111" s="915"/>
      <c r="D111" s="915"/>
      <c r="E111" s="915"/>
      <c r="F111" s="942"/>
      <c r="G111" s="915"/>
      <c r="H111" s="914"/>
      <c r="I111" s="915"/>
      <c r="J111" s="915"/>
      <c r="K111" s="915"/>
      <c r="N111" s="597"/>
    </row>
    <row r="112" spans="1:14">
      <c r="A112" s="1173" t="s">
        <v>1252</v>
      </c>
      <c r="B112" s="943"/>
      <c r="C112" s="944"/>
      <c r="D112" s="927"/>
      <c r="E112" s="927"/>
      <c r="F112" s="927"/>
      <c r="G112" s="927"/>
      <c r="H112" s="928"/>
      <c r="I112" s="927"/>
      <c r="J112" s="927"/>
      <c r="K112" s="927"/>
    </row>
    <row r="113" spans="1:11" ht="12" thickBot="1">
      <c r="A113" s="928"/>
      <c r="B113" s="927"/>
      <c r="C113" s="927"/>
      <c r="D113" s="927"/>
      <c r="E113" s="927"/>
      <c r="F113" s="927"/>
      <c r="G113" s="927"/>
      <c r="H113" s="928"/>
      <c r="I113" s="927"/>
      <c r="J113" s="927"/>
      <c r="K113" s="927"/>
    </row>
    <row r="114" spans="1:11" ht="12" thickBot="1">
      <c r="A114" s="945"/>
      <c r="B114" s="946" t="s">
        <v>82</v>
      </c>
      <c r="C114" s="931"/>
      <c r="D114" s="931"/>
      <c r="E114" s="931"/>
      <c r="F114" s="947"/>
      <c r="G114" s="946" t="s">
        <v>83</v>
      </c>
      <c r="H114" s="933"/>
      <c r="I114" s="931"/>
      <c r="J114" s="931"/>
      <c r="K114" s="932"/>
    </row>
    <row r="115" spans="1:11">
      <c r="A115" s="598" t="s">
        <v>158</v>
      </c>
      <c r="B115" s="1350"/>
      <c r="C115" s="1110"/>
      <c r="D115" s="582" t="s">
        <v>159</v>
      </c>
      <c r="E115" s="582"/>
      <c r="F115" s="599"/>
      <c r="G115" s="1352"/>
      <c r="H115" s="1147">
        <f>C115</f>
        <v>0</v>
      </c>
      <c r="I115" s="582" t="s">
        <v>159</v>
      </c>
      <c r="J115" s="582"/>
      <c r="K115" s="583"/>
    </row>
    <row r="116" spans="1:11">
      <c r="A116" s="600" t="s">
        <v>160</v>
      </c>
      <c r="B116" s="1215"/>
      <c r="C116" s="1111"/>
      <c r="D116" s="585" t="s">
        <v>159</v>
      </c>
      <c r="E116" s="585"/>
      <c r="F116" s="556"/>
      <c r="G116" s="1215"/>
      <c r="H116" s="852">
        <f>C116</f>
        <v>0</v>
      </c>
      <c r="I116" s="585" t="s">
        <v>159</v>
      </c>
      <c r="J116" s="585"/>
      <c r="K116" s="602"/>
    </row>
    <row r="117" spans="1:11">
      <c r="A117" s="603" t="s">
        <v>161</v>
      </c>
      <c r="B117" s="1215"/>
      <c r="C117" s="1111"/>
      <c r="D117" s="585" t="s">
        <v>159</v>
      </c>
      <c r="E117" s="585"/>
      <c r="F117" s="556"/>
      <c r="G117" s="1215"/>
      <c r="H117" s="852">
        <f>C117</f>
        <v>0</v>
      </c>
      <c r="I117" s="585" t="s">
        <v>159</v>
      </c>
      <c r="J117" s="585"/>
      <c r="K117" s="602"/>
    </row>
    <row r="118" spans="1:11">
      <c r="A118" s="600" t="s">
        <v>162</v>
      </c>
      <c r="B118" s="1215"/>
      <c r="C118" s="1356"/>
      <c r="D118" s="585" t="s">
        <v>163</v>
      </c>
      <c r="E118" s="585"/>
      <c r="F118" s="556"/>
      <c r="G118" s="1215"/>
      <c r="H118" s="1357">
        <f>C118</f>
        <v>0</v>
      </c>
      <c r="I118" s="585" t="s">
        <v>1200</v>
      </c>
      <c r="J118" s="585"/>
      <c r="K118" s="602"/>
    </row>
    <row r="119" spans="1:11">
      <c r="A119" s="604" t="s">
        <v>164</v>
      </c>
      <c r="B119" s="1215"/>
      <c r="C119" s="1171"/>
      <c r="D119" s="605" t="s">
        <v>165</v>
      </c>
      <c r="E119" s="585"/>
      <c r="F119" s="535"/>
      <c r="G119" s="1216" t="s">
        <v>1199</v>
      </c>
      <c r="H119" s="606"/>
      <c r="I119" s="585"/>
      <c r="J119" s="585"/>
      <c r="K119" s="602"/>
    </row>
    <row r="120" spans="1:11" hidden="1">
      <c r="A120" s="607" t="s">
        <v>166</v>
      </c>
      <c r="B120" s="1215" t="s">
        <v>167</v>
      </c>
      <c r="C120" s="606"/>
      <c r="D120" s="605"/>
      <c r="E120" s="585"/>
      <c r="F120" s="608"/>
      <c r="G120" s="1353"/>
      <c r="H120" s="606"/>
      <c r="I120" s="585"/>
      <c r="J120" s="585"/>
      <c r="K120" s="602"/>
    </row>
    <row r="121" spans="1:11">
      <c r="A121" s="600" t="s">
        <v>168</v>
      </c>
      <c r="B121" s="1215"/>
      <c r="C121" s="1359"/>
      <c r="D121" s="605" t="s">
        <v>169</v>
      </c>
      <c r="E121" s="585"/>
      <c r="F121" s="556"/>
      <c r="G121" s="1215"/>
      <c r="H121" s="1358">
        <f>C121</f>
        <v>0</v>
      </c>
      <c r="I121" s="606" t="s">
        <v>1201</v>
      </c>
      <c r="J121" s="585"/>
      <c r="K121" s="602"/>
    </row>
    <row r="122" spans="1:11">
      <c r="A122" s="609" t="s">
        <v>170</v>
      </c>
      <c r="B122" s="1215"/>
      <c r="C122" s="1112"/>
      <c r="D122" s="605" t="s">
        <v>171</v>
      </c>
      <c r="E122" s="585"/>
      <c r="F122" s="535"/>
      <c r="G122" s="1354" t="s">
        <v>1205</v>
      </c>
      <c r="H122" s="585"/>
      <c r="I122" s="585"/>
      <c r="J122" s="585"/>
      <c r="K122" s="602"/>
    </row>
    <row r="123" spans="1:11">
      <c r="A123" s="610" t="s">
        <v>172</v>
      </c>
      <c r="B123" s="1215"/>
      <c r="C123" s="1111"/>
      <c r="D123" s="585" t="s">
        <v>1202</v>
      </c>
      <c r="E123" s="585"/>
      <c r="F123" s="805">
        <f>C123/4000</f>
        <v>0</v>
      </c>
      <c r="G123" s="1215"/>
      <c r="H123" s="852">
        <f>C123</f>
        <v>0</v>
      </c>
      <c r="I123" s="585" t="s">
        <v>1202</v>
      </c>
      <c r="J123" s="585" t="s">
        <v>1203</v>
      </c>
      <c r="K123" s="845">
        <f>H123/4000</f>
        <v>0</v>
      </c>
    </row>
    <row r="124" spans="1:11">
      <c r="A124" s="610"/>
      <c r="B124" s="1215"/>
      <c r="C124" s="1111"/>
      <c r="D124" s="585" t="s">
        <v>1204</v>
      </c>
      <c r="E124" s="585"/>
      <c r="F124" s="805">
        <f>C124/5000</f>
        <v>0</v>
      </c>
      <c r="G124" s="1215"/>
      <c r="H124" s="852">
        <f>C124</f>
        <v>0</v>
      </c>
      <c r="I124" s="585" t="s">
        <v>1204</v>
      </c>
      <c r="J124" s="585" t="s">
        <v>1203</v>
      </c>
      <c r="K124" s="845">
        <f>H124/5000</f>
        <v>0</v>
      </c>
    </row>
    <row r="125" spans="1:11">
      <c r="A125" s="610" t="s">
        <v>173</v>
      </c>
      <c r="B125" s="1215"/>
      <c r="C125" s="1111"/>
      <c r="D125" s="585" t="s">
        <v>174</v>
      </c>
      <c r="E125" s="585"/>
      <c r="F125" s="556"/>
      <c r="G125" s="1215"/>
      <c r="H125" s="852">
        <f>C125</f>
        <v>0</v>
      </c>
      <c r="I125" s="585" t="s">
        <v>174</v>
      </c>
      <c r="J125" s="585"/>
      <c r="K125" s="602"/>
    </row>
    <row r="126" spans="1:11" ht="12" thickBot="1">
      <c r="A126" s="611" t="s">
        <v>175</v>
      </c>
      <c r="B126" s="1351"/>
      <c r="C126" s="1360"/>
      <c r="D126" s="612" t="s">
        <v>174</v>
      </c>
      <c r="E126" s="612"/>
      <c r="F126" s="613"/>
      <c r="G126" s="1355"/>
      <c r="H126" s="1361">
        <f>C126</f>
        <v>0</v>
      </c>
      <c r="I126" s="612" t="s">
        <v>174</v>
      </c>
      <c r="J126" s="612"/>
      <c r="K126" s="614"/>
    </row>
    <row r="127" spans="1:11">
      <c r="A127" s="768"/>
      <c r="B127" s="767"/>
      <c r="C127" s="767"/>
      <c r="D127" s="767"/>
      <c r="E127" s="767"/>
      <c r="F127" s="843" t="s">
        <v>1249</v>
      </c>
      <c r="G127" s="1406" t="e">
        <f>XONNOM &amp; " " &amp; XONPRE &amp; ", " &amp; TEXT(XONCP,"@@@@") &amp; " " &amp; XONLOC</f>
        <v>#VALUE!</v>
      </c>
      <c r="H127" s="1406"/>
      <c r="I127" s="1406"/>
      <c r="J127" s="1406"/>
      <c r="K127" s="1406"/>
    </row>
    <row r="128" spans="1:11">
      <c r="A128" s="768"/>
      <c r="B128" s="767"/>
      <c r="C128" s="767"/>
      <c r="D128" s="767"/>
      <c r="E128" s="767"/>
      <c r="F128" s="843" t="s">
        <v>68</v>
      </c>
      <c r="G128" s="1411">
        <f>J6</f>
        <v>0</v>
      </c>
      <c r="H128" s="1411"/>
      <c r="I128" s="903"/>
      <c r="J128" s="903"/>
      <c r="K128" s="767"/>
    </row>
    <row r="129" spans="1:11">
      <c r="A129" s="1033" t="s">
        <v>1366</v>
      </c>
      <c r="B129" s="767"/>
      <c r="C129" s="767"/>
      <c r="D129" s="767"/>
      <c r="E129" s="767"/>
      <c r="F129" s="767"/>
      <c r="G129" s="767"/>
      <c r="H129" s="768"/>
      <c r="I129" s="767"/>
      <c r="J129" s="767"/>
      <c r="K129" s="767"/>
    </row>
    <row r="130" spans="1:11">
      <c r="A130" s="983" t="s">
        <v>1302</v>
      </c>
      <c r="B130" s="767"/>
      <c r="C130" s="767"/>
      <c r="D130" s="767"/>
      <c r="E130" s="767"/>
      <c r="F130" s="767"/>
      <c r="G130" s="767"/>
      <c r="H130" s="768"/>
      <c r="I130" s="767"/>
      <c r="J130" s="767"/>
      <c r="K130" s="767"/>
    </row>
    <row r="131" spans="1:11" ht="9.75" customHeight="1" thickBot="1">
      <c r="A131" s="768"/>
      <c r="B131" s="767"/>
      <c r="C131" s="767"/>
      <c r="D131" s="767"/>
      <c r="E131" s="767"/>
      <c r="F131" s="767"/>
      <c r="G131" s="767"/>
      <c r="H131" s="768"/>
      <c r="I131" s="767"/>
      <c r="J131" s="767"/>
      <c r="K131" s="767"/>
    </row>
    <row r="132" spans="1:11" ht="12" thickBot="1">
      <c r="A132" s="948"/>
      <c r="B132" s="905" t="s">
        <v>82</v>
      </c>
      <c r="C132" s="906"/>
      <c r="D132" s="906"/>
      <c r="E132" s="906"/>
      <c r="F132" s="907"/>
      <c r="G132" s="905" t="s">
        <v>83</v>
      </c>
      <c r="H132" s="908"/>
      <c r="I132" s="906"/>
      <c r="J132" s="906"/>
      <c r="K132" s="907"/>
    </row>
    <row r="133" spans="1:11">
      <c r="A133" s="949" t="s">
        <v>176</v>
      </c>
      <c r="B133" s="950" t="s">
        <v>177</v>
      </c>
      <c r="C133" s="951"/>
      <c r="D133" s="952" t="s">
        <v>178</v>
      </c>
      <c r="E133" s="953" t="s">
        <v>179</v>
      </c>
      <c r="F133" s="954" t="s">
        <v>134</v>
      </c>
      <c r="G133" s="950" t="s">
        <v>177</v>
      </c>
      <c r="H133" s="955"/>
      <c r="I133" s="952" t="s">
        <v>178</v>
      </c>
      <c r="J133" s="953" t="s">
        <v>179</v>
      </c>
      <c r="K133" s="954" t="s">
        <v>134</v>
      </c>
    </row>
    <row r="134" spans="1:11" ht="12" thickBot="1">
      <c r="A134" s="917"/>
      <c r="B134" s="956" t="s">
        <v>1173</v>
      </c>
      <c r="C134" s="957"/>
      <c r="D134" s="877" t="s">
        <v>1172</v>
      </c>
      <c r="E134" s="958" t="s">
        <v>1171</v>
      </c>
      <c r="F134" s="959"/>
      <c r="G134" s="956" t="s">
        <v>1173</v>
      </c>
      <c r="H134" s="960"/>
      <c r="I134" s="877" t="s">
        <v>1172</v>
      </c>
      <c r="J134" s="958" t="s">
        <v>1171</v>
      </c>
      <c r="K134" s="959"/>
    </row>
    <row r="135" spans="1:11">
      <c r="A135" s="961" t="s">
        <v>180</v>
      </c>
      <c r="B135" s="962"/>
      <c r="C135" s="963"/>
      <c r="D135" s="887"/>
      <c r="E135" s="964"/>
      <c r="F135" s="913"/>
      <c r="G135" s="910"/>
      <c r="H135" s="965"/>
      <c r="I135" s="966"/>
      <c r="J135" s="964"/>
      <c r="K135" s="913"/>
    </row>
    <row r="136" spans="1:11">
      <c r="A136" s="579" t="s">
        <v>181</v>
      </c>
      <c r="B136" s="1321"/>
      <c r="C136" s="903"/>
      <c r="D136" s="1105"/>
      <c r="E136" s="1106"/>
      <c r="F136" s="806">
        <f>B136*D136*E136</f>
        <v>0</v>
      </c>
      <c r="G136" s="1323">
        <f>B136</f>
        <v>0</v>
      </c>
      <c r="H136" s="903"/>
      <c r="I136" s="32">
        <f t="shared" ref="I136:J138" si="15">D136</f>
        <v>0</v>
      </c>
      <c r="J136" s="573">
        <f t="shared" si="15"/>
        <v>0</v>
      </c>
      <c r="K136" s="806">
        <f>G136*I136*J136</f>
        <v>0</v>
      </c>
    </row>
    <row r="137" spans="1:11">
      <c r="A137" s="579" t="s">
        <v>182</v>
      </c>
      <c r="B137" s="1321"/>
      <c r="C137" s="903"/>
      <c r="D137" s="1105"/>
      <c r="E137" s="1106"/>
      <c r="F137" s="806">
        <f>B137*D137*E137</f>
        <v>0</v>
      </c>
      <c r="G137" s="1323">
        <f t="shared" ref="G137:G170" si="16">B137</f>
        <v>0</v>
      </c>
      <c r="H137" s="903"/>
      <c r="I137" s="32">
        <f t="shared" si="15"/>
        <v>0</v>
      </c>
      <c r="J137" s="573">
        <f t="shared" si="15"/>
        <v>0</v>
      </c>
      <c r="K137" s="806">
        <f>G137*I137*J137</f>
        <v>0</v>
      </c>
    </row>
    <row r="138" spans="1:11">
      <c r="A138" s="579" t="s">
        <v>183</v>
      </c>
      <c r="B138" s="1321"/>
      <c r="C138" s="903"/>
      <c r="D138" s="1105"/>
      <c r="E138" s="1106"/>
      <c r="F138" s="799">
        <f>B138*D138*E138</f>
        <v>0</v>
      </c>
      <c r="G138" s="1323">
        <f t="shared" si="16"/>
        <v>0</v>
      </c>
      <c r="H138" s="903"/>
      <c r="I138" s="32">
        <f t="shared" si="15"/>
        <v>0</v>
      </c>
      <c r="J138" s="573">
        <f t="shared" si="15"/>
        <v>0</v>
      </c>
      <c r="K138" s="799">
        <f>G138*I138*J138</f>
        <v>0</v>
      </c>
    </row>
    <row r="139" spans="1:11" ht="8.25" customHeight="1">
      <c r="A139" s="575"/>
      <c r="B139" s="617"/>
      <c r="C139" s="1346"/>
      <c r="D139" s="540"/>
      <c r="E139" s="541"/>
      <c r="F139" s="576"/>
      <c r="G139" s="836">
        <f t="shared" si="16"/>
        <v>0</v>
      </c>
      <c r="H139" s="1346"/>
      <c r="I139" s="540"/>
      <c r="J139" s="541"/>
      <c r="K139" s="576"/>
    </row>
    <row r="140" spans="1:11">
      <c r="A140" s="967" t="s">
        <v>184</v>
      </c>
      <c r="B140" s="837"/>
      <c r="C140" s="968"/>
      <c r="D140" s="885"/>
      <c r="E140" s="891"/>
      <c r="F140" s="916"/>
      <c r="G140" s="837">
        <f t="shared" si="16"/>
        <v>0</v>
      </c>
      <c r="H140" s="968"/>
      <c r="I140" s="885"/>
      <c r="J140" s="891"/>
      <c r="K140" s="916"/>
    </row>
    <row r="141" spans="1:11">
      <c r="A141" s="579" t="s">
        <v>185</v>
      </c>
      <c r="B141" s="721"/>
      <c r="C141" s="968"/>
      <c r="D141" s="1105"/>
      <c r="E141" s="1106"/>
      <c r="F141" s="799">
        <f>B141*D141*E141</f>
        <v>0</v>
      </c>
      <c r="G141" s="1162">
        <f t="shared" si="16"/>
        <v>0</v>
      </c>
      <c r="H141" s="968"/>
      <c r="I141" s="32">
        <f>D141</f>
        <v>0</v>
      </c>
      <c r="J141" s="573">
        <f>E141</f>
        <v>0</v>
      </c>
      <c r="K141" s="799">
        <f>G141*I141*J141</f>
        <v>0</v>
      </c>
    </row>
    <row r="142" spans="1:11" ht="8.25" customHeight="1">
      <c r="A142" s="575"/>
      <c r="B142" s="617"/>
      <c r="C142" s="1346"/>
      <c r="D142" s="540"/>
      <c r="E142" s="541"/>
      <c r="F142" s="576"/>
      <c r="G142" s="836">
        <f t="shared" si="16"/>
        <v>0</v>
      </c>
      <c r="H142" s="1346"/>
      <c r="I142" s="540"/>
      <c r="J142" s="541"/>
      <c r="K142" s="576"/>
    </row>
    <row r="143" spans="1:11">
      <c r="A143" s="969" t="s">
        <v>186</v>
      </c>
      <c r="B143" s="837"/>
      <c r="C143" s="968"/>
      <c r="D143" s="885"/>
      <c r="E143" s="891"/>
      <c r="F143" s="916"/>
      <c r="G143" s="837">
        <f t="shared" si="16"/>
        <v>0</v>
      </c>
      <c r="H143" s="968"/>
      <c r="I143" s="885"/>
      <c r="J143" s="891"/>
      <c r="K143" s="916"/>
    </row>
    <row r="144" spans="1:11">
      <c r="A144" s="579" t="s">
        <v>187</v>
      </c>
      <c r="B144" s="721"/>
      <c r="C144" s="968"/>
      <c r="D144" s="1105"/>
      <c r="E144" s="1106"/>
      <c r="F144" s="799">
        <f>B144*D144*E144</f>
        <v>0</v>
      </c>
      <c r="G144" s="1162">
        <f t="shared" si="16"/>
        <v>0</v>
      </c>
      <c r="H144" s="968"/>
      <c r="I144" s="32">
        <f>D144</f>
        <v>0</v>
      </c>
      <c r="J144" s="573">
        <f>E144</f>
        <v>0</v>
      </c>
      <c r="K144" s="799">
        <f>G144*I144*J144</f>
        <v>0</v>
      </c>
    </row>
    <row r="145" spans="1:11">
      <c r="A145" s="579" t="s">
        <v>188</v>
      </c>
      <c r="B145" s="721"/>
      <c r="C145" s="968"/>
      <c r="D145" s="1105"/>
      <c r="E145" s="1106"/>
      <c r="F145" s="799">
        <f>B145*D145*E145</f>
        <v>0</v>
      </c>
      <c r="G145" s="1162">
        <f t="shared" si="16"/>
        <v>0</v>
      </c>
      <c r="H145" s="968"/>
      <c r="I145" s="32">
        <f>D145</f>
        <v>0</v>
      </c>
      <c r="J145" s="573">
        <f>E145</f>
        <v>0</v>
      </c>
      <c r="K145" s="799">
        <f>G145*I145*J145</f>
        <v>0</v>
      </c>
    </row>
    <row r="146" spans="1:11" ht="8.25" customHeight="1">
      <c r="A146" s="575"/>
      <c r="B146" s="617"/>
      <c r="C146" s="1346"/>
      <c r="D146" s="540"/>
      <c r="E146" s="541"/>
      <c r="F146" s="576"/>
      <c r="G146" s="836">
        <f t="shared" si="16"/>
        <v>0</v>
      </c>
      <c r="H146" s="1346"/>
      <c r="I146" s="540"/>
      <c r="J146" s="541"/>
      <c r="K146" s="576"/>
    </row>
    <row r="147" spans="1:11">
      <c r="A147" s="967" t="s">
        <v>189</v>
      </c>
      <c r="B147" s="837"/>
      <c r="C147" s="968"/>
      <c r="D147" s="885"/>
      <c r="E147" s="891"/>
      <c r="F147" s="916"/>
      <c r="G147" s="837">
        <f t="shared" si="16"/>
        <v>0</v>
      </c>
      <c r="H147" s="968"/>
      <c r="I147" s="885"/>
      <c r="J147" s="891"/>
      <c r="K147" s="916"/>
    </row>
    <row r="148" spans="1:11">
      <c r="A148" s="579" t="s">
        <v>190</v>
      </c>
      <c r="B148" s="721"/>
      <c r="C148" s="968"/>
      <c r="D148" s="1105"/>
      <c r="E148" s="1106"/>
      <c r="F148" s="799">
        <f t="shared" ref="F148:F163" si="17">B148*D148*E148</f>
        <v>0</v>
      </c>
      <c r="G148" s="1162">
        <f t="shared" si="16"/>
        <v>0</v>
      </c>
      <c r="H148" s="968"/>
      <c r="I148" s="32">
        <f t="shared" ref="I148:I171" si="18">D148</f>
        <v>0</v>
      </c>
      <c r="J148" s="573">
        <f t="shared" ref="J148:J171" si="19">E148</f>
        <v>0</v>
      </c>
      <c r="K148" s="799">
        <f t="shared" ref="K148:K170" si="20">G148*I148*J148</f>
        <v>0</v>
      </c>
    </row>
    <row r="149" spans="1:11">
      <c r="A149" s="579" t="s">
        <v>191</v>
      </c>
      <c r="B149" s="721"/>
      <c r="C149" s="968"/>
      <c r="D149" s="1105"/>
      <c r="E149" s="1106"/>
      <c r="F149" s="799">
        <f t="shared" si="17"/>
        <v>0</v>
      </c>
      <c r="G149" s="1162">
        <f t="shared" si="16"/>
        <v>0</v>
      </c>
      <c r="H149" s="968"/>
      <c r="I149" s="32">
        <f t="shared" si="18"/>
        <v>0</v>
      </c>
      <c r="J149" s="573">
        <f t="shared" si="19"/>
        <v>0</v>
      </c>
      <c r="K149" s="799">
        <f t="shared" si="20"/>
        <v>0</v>
      </c>
    </row>
    <row r="150" spans="1:11">
      <c r="A150" s="579" t="s">
        <v>192</v>
      </c>
      <c r="B150" s="721"/>
      <c r="C150" s="968"/>
      <c r="D150" s="1105"/>
      <c r="E150" s="1106"/>
      <c r="F150" s="799">
        <f t="shared" si="17"/>
        <v>0</v>
      </c>
      <c r="G150" s="1162">
        <f t="shared" si="16"/>
        <v>0</v>
      </c>
      <c r="H150" s="968"/>
      <c r="I150" s="32">
        <f t="shared" si="18"/>
        <v>0</v>
      </c>
      <c r="J150" s="573">
        <f t="shared" si="19"/>
        <v>0</v>
      </c>
      <c r="K150" s="799">
        <f t="shared" si="20"/>
        <v>0</v>
      </c>
    </row>
    <row r="151" spans="1:11">
      <c r="A151" s="579" t="s">
        <v>193</v>
      </c>
      <c r="B151" s="721"/>
      <c r="C151" s="968"/>
      <c r="D151" s="1105"/>
      <c r="E151" s="1106"/>
      <c r="F151" s="799">
        <f t="shared" si="17"/>
        <v>0</v>
      </c>
      <c r="G151" s="1162">
        <f t="shared" si="16"/>
        <v>0</v>
      </c>
      <c r="H151" s="968"/>
      <c r="I151" s="32">
        <f t="shared" si="18"/>
        <v>0</v>
      </c>
      <c r="J151" s="573">
        <f t="shared" si="19"/>
        <v>0</v>
      </c>
      <c r="K151" s="799">
        <f t="shared" si="20"/>
        <v>0</v>
      </c>
    </row>
    <row r="152" spans="1:11">
      <c r="A152" s="579" t="s">
        <v>194</v>
      </c>
      <c r="B152" s="721"/>
      <c r="C152" s="968"/>
      <c r="D152" s="1105"/>
      <c r="E152" s="1106"/>
      <c r="F152" s="799">
        <f t="shared" si="17"/>
        <v>0</v>
      </c>
      <c r="G152" s="1162">
        <f t="shared" si="16"/>
        <v>0</v>
      </c>
      <c r="H152" s="968"/>
      <c r="I152" s="32">
        <f t="shared" si="18"/>
        <v>0</v>
      </c>
      <c r="J152" s="573">
        <f t="shared" si="19"/>
        <v>0</v>
      </c>
      <c r="K152" s="799">
        <f t="shared" si="20"/>
        <v>0</v>
      </c>
    </row>
    <row r="153" spans="1:11">
      <c r="A153" s="579" t="s">
        <v>195</v>
      </c>
      <c r="B153" s="721"/>
      <c r="C153" s="968"/>
      <c r="D153" s="1105"/>
      <c r="E153" s="1106"/>
      <c r="F153" s="799">
        <f t="shared" si="17"/>
        <v>0</v>
      </c>
      <c r="G153" s="1162">
        <f t="shared" si="16"/>
        <v>0</v>
      </c>
      <c r="H153" s="968"/>
      <c r="I153" s="32">
        <f t="shared" si="18"/>
        <v>0</v>
      </c>
      <c r="J153" s="573">
        <f t="shared" si="19"/>
        <v>0</v>
      </c>
      <c r="K153" s="799">
        <f t="shared" si="20"/>
        <v>0</v>
      </c>
    </row>
    <row r="154" spans="1:11">
      <c r="A154" s="579" t="s">
        <v>196</v>
      </c>
      <c r="B154" s="721"/>
      <c r="C154" s="968"/>
      <c r="D154" s="1105"/>
      <c r="E154" s="1106"/>
      <c r="F154" s="799">
        <f t="shared" si="17"/>
        <v>0</v>
      </c>
      <c r="G154" s="1162">
        <f t="shared" si="16"/>
        <v>0</v>
      </c>
      <c r="H154" s="968"/>
      <c r="I154" s="32">
        <f t="shared" si="18"/>
        <v>0</v>
      </c>
      <c r="J154" s="573">
        <f t="shared" si="19"/>
        <v>0</v>
      </c>
      <c r="K154" s="799">
        <f t="shared" si="20"/>
        <v>0</v>
      </c>
    </row>
    <row r="155" spans="1:11">
      <c r="A155" s="579" t="s">
        <v>197</v>
      </c>
      <c r="B155" s="721"/>
      <c r="C155" s="968"/>
      <c r="D155" s="1105"/>
      <c r="E155" s="1106"/>
      <c r="F155" s="799">
        <f t="shared" si="17"/>
        <v>0</v>
      </c>
      <c r="G155" s="1162">
        <f t="shared" si="16"/>
        <v>0</v>
      </c>
      <c r="H155" s="968"/>
      <c r="I155" s="32">
        <f t="shared" si="18"/>
        <v>0</v>
      </c>
      <c r="J155" s="573">
        <f t="shared" si="19"/>
        <v>0</v>
      </c>
      <c r="K155" s="799">
        <f t="shared" si="20"/>
        <v>0</v>
      </c>
    </row>
    <row r="156" spans="1:11">
      <c r="A156" s="579" t="s">
        <v>198</v>
      </c>
      <c r="B156" s="721"/>
      <c r="C156" s="968"/>
      <c r="D156" s="1105"/>
      <c r="E156" s="1106"/>
      <c r="F156" s="799">
        <f t="shared" si="17"/>
        <v>0</v>
      </c>
      <c r="G156" s="1162">
        <f t="shared" si="16"/>
        <v>0</v>
      </c>
      <c r="H156" s="968"/>
      <c r="I156" s="32">
        <f t="shared" si="18"/>
        <v>0</v>
      </c>
      <c r="J156" s="573">
        <f t="shared" si="19"/>
        <v>0</v>
      </c>
      <c r="K156" s="799">
        <f t="shared" si="20"/>
        <v>0</v>
      </c>
    </row>
    <row r="157" spans="1:11">
      <c r="A157" s="579" t="s">
        <v>199</v>
      </c>
      <c r="B157" s="721"/>
      <c r="C157" s="968"/>
      <c r="D157" s="1105"/>
      <c r="E157" s="1106"/>
      <c r="F157" s="799">
        <f t="shared" si="17"/>
        <v>0</v>
      </c>
      <c r="G157" s="1162">
        <f t="shared" si="16"/>
        <v>0</v>
      </c>
      <c r="H157" s="968"/>
      <c r="I157" s="32">
        <f t="shared" si="18"/>
        <v>0</v>
      </c>
      <c r="J157" s="573">
        <f t="shared" si="19"/>
        <v>0</v>
      </c>
      <c r="K157" s="799">
        <f t="shared" si="20"/>
        <v>0</v>
      </c>
    </row>
    <row r="158" spans="1:11">
      <c r="A158" s="579" t="s">
        <v>200</v>
      </c>
      <c r="B158" s="721"/>
      <c r="C158" s="968"/>
      <c r="D158" s="1105"/>
      <c r="E158" s="1106"/>
      <c r="F158" s="799">
        <f t="shared" si="17"/>
        <v>0</v>
      </c>
      <c r="G158" s="1162">
        <f t="shared" si="16"/>
        <v>0</v>
      </c>
      <c r="H158" s="968"/>
      <c r="I158" s="32">
        <f t="shared" si="18"/>
        <v>0</v>
      </c>
      <c r="J158" s="573">
        <f t="shared" si="19"/>
        <v>0</v>
      </c>
      <c r="K158" s="799">
        <f t="shared" si="20"/>
        <v>0</v>
      </c>
    </row>
    <row r="159" spans="1:11">
      <c r="A159" s="579" t="s">
        <v>201</v>
      </c>
      <c r="B159" s="721"/>
      <c r="C159" s="968"/>
      <c r="D159" s="1105"/>
      <c r="E159" s="1106"/>
      <c r="F159" s="799">
        <f t="shared" si="17"/>
        <v>0</v>
      </c>
      <c r="G159" s="1162">
        <f t="shared" si="16"/>
        <v>0</v>
      </c>
      <c r="H159" s="968"/>
      <c r="I159" s="32">
        <f t="shared" si="18"/>
        <v>0</v>
      </c>
      <c r="J159" s="573">
        <f t="shared" si="19"/>
        <v>0</v>
      </c>
      <c r="K159" s="799">
        <f t="shared" si="20"/>
        <v>0</v>
      </c>
    </row>
    <row r="160" spans="1:11">
      <c r="A160" s="579" t="s">
        <v>202</v>
      </c>
      <c r="B160" s="721"/>
      <c r="C160" s="968"/>
      <c r="D160" s="1105"/>
      <c r="E160" s="1106"/>
      <c r="F160" s="799">
        <f t="shared" si="17"/>
        <v>0</v>
      </c>
      <c r="G160" s="1162">
        <f t="shared" si="16"/>
        <v>0</v>
      </c>
      <c r="H160" s="968"/>
      <c r="I160" s="32">
        <f t="shared" si="18"/>
        <v>0</v>
      </c>
      <c r="J160" s="573">
        <f t="shared" si="19"/>
        <v>0</v>
      </c>
      <c r="K160" s="799">
        <f t="shared" si="20"/>
        <v>0</v>
      </c>
    </row>
    <row r="161" spans="1:11">
      <c r="A161" s="579" t="s">
        <v>203</v>
      </c>
      <c r="B161" s="721"/>
      <c r="C161" s="968"/>
      <c r="D161" s="1105"/>
      <c r="E161" s="1106"/>
      <c r="F161" s="799">
        <f t="shared" si="17"/>
        <v>0</v>
      </c>
      <c r="G161" s="1162">
        <f t="shared" si="16"/>
        <v>0</v>
      </c>
      <c r="H161" s="968"/>
      <c r="I161" s="32">
        <f t="shared" si="18"/>
        <v>0</v>
      </c>
      <c r="J161" s="573">
        <f t="shared" si="19"/>
        <v>0</v>
      </c>
      <c r="K161" s="799">
        <f t="shared" si="20"/>
        <v>0</v>
      </c>
    </row>
    <row r="162" spans="1:11">
      <c r="A162" s="579" t="s">
        <v>204</v>
      </c>
      <c r="B162" s="721"/>
      <c r="C162" s="968"/>
      <c r="D162" s="1105"/>
      <c r="E162" s="1106"/>
      <c r="F162" s="799">
        <f t="shared" si="17"/>
        <v>0</v>
      </c>
      <c r="G162" s="1162">
        <f t="shared" si="16"/>
        <v>0</v>
      </c>
      <c r="H162" s="968"/>
      <c r="I162" s="32">
        <f t="shared" si="18"/>
        <v>0</v>
      </c>
      <c r="J162" s="573">
        <f t="shared" si="19"/>
        <v>0</v>
      </c>
      <c r="K162" s="799">
        <f t="shared" si="20"/>
        <v>0</v>
      </c>
    </row>
    <row r="163" spans="1:11">
      <c r="A163" s="579" t="s">
        <v>205</v>
      </c>
      <c r="B163" s="721"/>
      <c r="C163" s="968"/>
      <c r="D163" s="1105"/>
      <c r="E163" s="1106"/>
      <c r="F163" s="799">
        <f t="shared" si="17"/>
        <v>0</v>
      </c>
      <c r="G163" s="1162">
        <f t="shared" si="16"/>
        <v>0</v>
      </c>
      <c r="H163" s="968"/>
      <c r="I163" s="32">
        <f t="shared" si="18"/>
        <v>0</v>
      </c>
      <c r="J163" s="573">
        <f t="shared" si="19"/>
        <v>0</v>
      </c>
      <c r="K163" s="799">
        <f t="shared" si="20"/>
        <v>0</v>
      </c>
    </row>
    <row r="164" spans="1:11">
      <c r="A164" s="579" t="s">
        <v>206</v>
      </c>
      <c r="B164" s="721"/>
      <c r="C164" s="968"/>
      <c r="D164" s="1105"/>
      <c r="E164" s="1106"/>
      <c r="F164" s="799">
        <f t="shared" ref="F164:F170" si="21">B164*D164*E164</f>
        <v>0</v>
      </c>
      <c r="G164" s="1162">
        <f t="shared" si="16"/>
        <v>0</v>
      </c>
      <c r="H164" s="968"/>
      <c r="I164" s="32">
        <f t="shared" si="18"/>
        <v>0</v>
      </c>
      <c r="J164" s="573">
        <f t="shared" si="19"/>
        <v>0</v>
      </c>
      <c r="K164" s="799">
        <f t="shared" si="20"/>
        <v>0</v>
      </c>
    </row>
    <row r="165" spans="1:11">
      <c r="A165" s="579" t="s">
        <v>207</v>
      </c>
      <c r="B165" s="721"/>
      <c r="C165" s="968"/>
      <c r="D165" s="1105"/>
      <c r="E165" s="1106"/>
      <c r="F165" s="799">
        <f t="shared" si="21"/>
        <v>0</v>
      </c>
      <c r="G165" s="1162">
        <f t="shared" si="16"/>
        <v>0</v>
      </c>
      <c r="H165" s="968"/>
      <c r="I165" s="32">
        <f t="shared" si="18"/>
        <v>0</v>
      </c>
      <c r="J165" s="573">
        <f t="shared" si="19"/>
        <v>0</v>
      </c>
      <c r="K165" s="799">
        <f t="shared" si="20"/>
        <v>0</v>
      </c>
    </row>
    <row r="166" spans="1:11">
      <c r="A166" s="579" t="s">
        <v>208</v>
      </c>
      <c r="B166" s="721"/>
      <c r="C166" s="968"/>
      <c r="D166" s="1105"/>
      <c r="E166" s="1106"/>
      <c r="F166" s="799">
        <f t="shared" si="21"/>
        <v>0</v>
      </c>
      <c r="G166" s="1162">
        <f t="shared" si="16"/>
        <v>0</v>
      </c>
      <c r="H166" s="968"/>
      <c r="I166" s="32">
        <f t="shared" si="18"/>
        <v>0</v>
      </c>
      <c r="J166" s="573">
        <f t="shared" si="19"/>
        <v>0</v>
      </c>
      <c r="K166" s="799">
        <f t="shared" si="20"/>
        <v>0</v>
      </c>
    </row>
    <row r="167" spans="1:11">
      <c r="A167" s="579" t="s">
        <v>209</v>
      </c>
      <c r="B167" s="721"/>
      <c r="C167" s="968"/>
      <c r="D167" s="1105"/>
      <c r="E167" s="1106"/>
      <c r="F167" s="799">
        <f t="shared" si="21"/>
        <v>0</v>
      </c>
      <c r="G167" s="1162">
        <f t="shared" si="16"/>
        <v>0</v>
      </c>
      <c r="H167" s="968"/>
      <c r="I167" s="32">
        <f t="shared" si="18"/>
        <v>0</v>
      </c>
      <c r="J167" s="573">
        <f t="shared" si="19"/>
        <v>0</v>
      </c>
      <c r="K167" s="799">
        <f t="shared" si="20"/>
        <v>0</v>
      </c>
    </row>
    <row r="168" spans="1:11">
      <c r="A168" s="579" t="s">
        <v>210</v>
      </c>
      <c r="B168" s="721"/>
      <c r="C168" s="968"/>
      <c r="D168" s="1105"/>
      <c r="E168" s="1106"/>
      <c r="F168" s="799">
        <f t="shared" si="21"/>
        <v>0</v>
      </c>
      <c r="G168" s="1162">
        <f t="shared" si="16"/>
        <v>0</v>
      </c>
      <c r="H168" s="968"/>
      <c r="I168" s="32">
        <f t="shared" si="18"/>
        <v>0</v>
      </c>
      <c r="J168" s="573">
        <f t="shared" si="19"/>
        <v>0</v>
      </c>
      <c r="K168" s="799">
        <f t="shared" si="20"/>
        <v>0</v>
      </c>
    </row>
    <row r="169" spans="1:11">
      <c r="A169" s="579" t="s">
        <v>211</v>
      </c>
      <c r="B169" s="721"/>
      <c r="C169" s="968"/>
      <c r="D169" s="1105"/>
      <c r="E169" s="1106"/>
      <c r="F169" s="799">
        <f t="shared" si="21"/>
        <v>0</v>
      </c>
      <c r="G169" s="1162">
        <f t="shared" si="16"/>
        <v>0</v>
      </c>
      <c r="H169" s="968"/>
      <c r="I169" s="32">
        <f t="shared" si="18"/>
        <v>0</v>
      </c>
      <c r="J169" s="573">
        <f t="shared" si="19"/>
        <v>0</v>
      </c>
      <c r="K169" s="799">
        <f t="shared" si="20"/>
        <v>0</v>
      </c>
    </row>
    <row r="170" spans="1:11" ht="12" thickBot="1">
      <c r="A170" s="619" t="s">
        <v>212</v>
      </c>
      <c r="B170" s="1139"/>
      <c r="C170" s="1192"/>
      <c r="D170" s="1115"/>
      <c r="E170" s="1116"/>
      <c r="F170" s="799">
        <f t="shared" si="21"/>
        <v>0</v>
      </c>
      <c r="G170" s="1163">
        <f t="shared" si="16"/>
        <v>0</v>
      </c>
      <c r="H170" s="1192"/>
      <c r="I170" s="621">
        <f t="shared" si="18"/>
        <v>0</v>
      </c>
      <c r="J170" s="622">
        <f t="shared" si="19"/>
        <v>0</v>
      </c>
      <c r="K170" s="799">
        <f t="shared" si="20"/>
        <v>0</v>
      </c>
    </row>
    <row r="171" spans="1:11" ht="16.5" customHeight="1" thickBot="1">
      <c r="A171" s="923" t="s">
        <v>213</v>
      </c>
      <c r="B171" s="779">
        <f>SUM(B136:B170)</f>
        <v>0</v>
      </c>
      <c r="C171" s="970"/>
      <c r="D171" s="971" t="s">
        <v>130</v>
      </c>
      <c r="E171" s="856" t="s">
        <v>148</v>
      </c>
      <c r="F171" s="801">
        <f>SUM(F136:F170)</f>
        <v>0</v>
      </c>
      <c r="G171" s="779">
        <f>SUM(G136:G170)</f>
        <v>0</v>
      </c>
      <c r="H171" s="970"/>
      <c r="I171" s="971" t="str">
        <f t="shared" si="18"/>
        <v>-------</v>
      </c>
      <c r="J171" s="856" t="str">
        <f t="shared" si="19"/>
        <v>--------</v>
      </c>
      <c r="K171" s="801">
        <f>SUM(K136:K170)</f>
        <v>0</v>
      </c>
    </row>
    <row r="172" spans="1:11" ht="9.75" customHeight="1"/>
    <row r="173" spans="1:11">
      <c r="A173" s="768"/>
      <c r="B173" s="843" t="s">
        <v>214</v>
      </c>
      <c r="C173" s="623"/>
      <c r="D173" s="767" t="s">
        <v>215</v>
      </c>
      <c r="H173" s="1148">
        <f>C173</f>
        <v>0</v>
      </c>
      <c r="I173" s="767" t="s">
        <v>215</v>
      </c>
    </row>
    <row r="174" spans="1:11">
      <c r="A174" s="768"/>
      <c r="B174" s="843" t="s">
        <v>216</v>
      </c>
      <c r="C174" s="972">
        <f>(B171-C173)/100</f>
        <v>0</v>
      </c>
      <c r="D174" s="767" t="s">
        <v>217</v>
      </c>
      <c r="H174" s="972">
        <f>(G171-H173)/100</f>
        <v>0</v>
      </c>
      <c r="I174" s="767" t="s">
        <v>217</v>
      </c>
    </row>
    <row r="175" spans="1:11" ht="9.75" customHeight="1">
      <c r="A175" s="768"/>
      <c r="B175" s="767"/>
      <c r="C175" s="767"/>
      <c r="D175" s="767"/>
      <c r="E175" s="767"/>
      <c r="F175" s="767"/>
      <c r="G175" s="767"/>
      <c r="H175" s="768"/>
      <c r="I175" s="767"/>
      <c r="J175" s="767"/>
      <c r="K175" s="767"/>
    </row>
    <row r="176" spans="1:11">
      <c r="A176" s="1034" t="s">
        <v>1367</v>
      </c>
      <c r="B176" s="767"/>
      <c r="C176" s="767"/>
      <c r="D176" s="767"/>
      <c r="E176" s="767"/>
      <c r="F176" s="767"/>
      <c r="G176" s="767"/>
      <c r="H176" s="768"/>
      <c r="I176" s="767"/>
      <c r="J176" s="767"/>
      <c r="K176" s="767"/>
    </row>
    <row r="177" spans="1:11" ht="7.5" customHeight="1" thickBot="1">
      <c r="A177" s="768"/>
      <c r="B177" s="767"/>
      <c r="C177" s="767"/>
      <c r="D177" s="767"/>
      <c r="E177" s="767"/>
      <c r="F177" s="767"/>
      <c r="G177" s="767"/>
      <c r="H177" s="768"/>
      <c r="I177" s="767"/>
      <c r="J177" s="767"/>
      <c r="K177" s="767"/>
    </row>
    <row r="178" spans="1:11" ht="12" thickBot="1">
      <c r="A178" s="948"/>
      <c r="B178" s="905" t="s">
        <v>82</v>
      </c>
      <c r="C178" s="906"/>
      <c r="D178" s="906"/>
      <c r="E178" s="906"/>
      <c r="F178" s="907"/>
      <c r="G178" s="905" t="s">
        <v>83</v>
      </c>
      <c r="H178" s="908"/>
      <c r="I178" s="906"/>
      <c r="J178" s="906"/>
      <c r="K178" s="907"/>
    </row>
    <row r="179" spans="1:11" ht="12" thickBot="1">
      <c r="A179" s="973" t="s">
        <v>218</v>
      </c>
      <c r="B179" s="905" t="s">
        <v>219</v>
      </c>
      <c r="C179" s="906"/>
      <c r="D179" s="974" t="s">
        <v>220</v>
      </c>
      <c r="E179" s="906"/>
      <c r="F179" s="907"/>
      <c r="G179" s="905" t="s">
        <v>219</v>
      </c>
      <c r="H179" s="908"/>
      <c r="I179" s="974" t="s">
        <v>220</v>
      </c>
      <c r="J179" s="906"/>
      <c r="K179" s="907"/>
    </row>
    <row r="180" spans="1:11">
      <c r="A180" s="558" t="s">
        <v>221</v>
      </c>
      <c r="B180" s="1333"/>
      <c r="C180" s="963"/>
      <c r="D180" s="1118"/>
      <c r="E180" s="559"/>
      <c r="F180" s="560"/>
      <c r="G180" s="1203">
        <f t="shared" ref="G180:G186" si="22">B180</f>
        <v>0</v>
      </c>
      <c r="H180" s="963"/>
      <c r="I180" s="1150"/>
      <c r="J180" s="559"/>
      <c r="K180" s="560"/>
    </row>
    <row r="181" spans="1:11">
      <c r="A181" s="572" t="s">
        <v>222</v>
      </c>
      <c r="B181" s="721"/>
      <c r="C181" s="968"/>
      <c r="D181" s="1119"/>
      <c r="E181" s="27"/>
      <c r="F181" s="563"/>
      <c r="G181" s="1162">
        <f t="shared" si="22"/>
        <v>0</v>
      </c>
      <c r="H181" s="968"/>
      <c r="I181" s="1151"/>
      <c r="J181" s="27"/>
      <c r="K181" s="563"/>
    </row>
    <row r="182" spans="1:11">
      <c r="A182" s="579" t="s">
        <v>223</v>
      </c>
      <c r="B182" s="721"/>
      <c r="C182" s="968"/>
      <c r="D182" s="1119"/>
      <c r="E182" s="27"/>
      <c r="F182" s="563"/>
      <c r="G182" s="1162">
        <f t="shared" si="22"/>
        <v>0</v>
      </c>
      <c r="H182" s="968"/>
      <c r="I182" s="1151"/>
      <c r="J182" s="27"/>
      <c r="K182" s="563"/>
    </row>
    <row r="183" spans="1:11">
      <c r="A183" s="572" t="s">
        <v>224</v>
      </c>
      <c r="B183" s="721"/>
      <c r="C183" s="968"/>
      <c r="D183" s="1119"/>
      <c r="E183" s="27"/>
      <c r="F183" s="563"/>
      <c r="G183" s="1162">
        <f t="shared" si="22"/>
        <v>0</v>
      </c>
      <c r="H183" s="968"/>
      <c r="I183" s="1151"/>
      <c r="J183" s="27"/>
      <c r="K183" s="563"/>
    </row>
    <row r="184" spans="1:11">
      <c r="A184" s="572" t="s">
        <v>225</v>
      </c>
      <c r="B184" s="721"/>
      <c r="C184" s="968"/>
      <c r="D184" s="1119"/>
      <c r="E184" s="27"/>
      <c r="F184" s="563"/>
      <c r="G184" s="1162">
        <f t="shared" si="22"/>
        <v>0</v>
      </c>
      <c r="H184" s="968"/>
      <c r="I184" s="1151"/>
      <c r="J184" s="27"/>
      <c r="K184" s="563"/>
    </row>
    <row r="185" spans="1:11">
      <c r="A185" s="579" t="s">
        <v>226</v>
      </c>
      <c r="B185" s="721"/>
      <c r="C185" s="968"/>
      <c r="D185" s="1119"/>
      <c r="E185" s="27"/>
      <c r="F185" s="563"/>
      <c r="G185" s="1162">
        <f t="shared" si="22"/>
        <v>0</v>
      </c>
      <c r="H185" s="968"/>
      <c r="I185" s="1151"/>
      <c r="J185" s="27"/>
      <c r="K185" s="563"/>
    </row>
    <row r="186" spans="1:11" ht="12" thickBot="1">
      <c r="A186" s="624" t="s">
        <v>227</v>
      </c>
      <c r="B186" s="1139"/>
      <c r="C186" s="1192"/>
      <c r="D186" s="1120"/>
      <c r="E186" s="565"/>
      <c r="F186" s="566"/>
      <c r="G186" s="1162">
        <f t="shared" si="22"/>
        <v>0</v>
      </c>
      <c r="H186" s="1192"/>
      <c r="I186" s="1152"/>
      <c r="J186" s="565"/>
      <c r="K186" s="566"/>
    </row>
    <row r="187" spans="1:11" ht="17.25" customHeight="1" thickBot="1">
      <c r="A187" s="923" t="s">
        <v>128</v>
      </c>
      <c r="B187" s="1412">
        <f>SUM(B180:B186)</f>
        <v>0</v>
      </c>
      <c r="C187" s="1413"/>
      <c r="D187" s="975"/>
      <c r="E187" s="899" t="s">
        <v>228</v>
      </c>
      <c r="F187" s="976"/>
      <c r="G187" s="1412">
        <f>SUM(G180:G186)</f>
        <v>0</v>
      </c>
      <c r="H187" s="1413"/>
      <c r="I187" s="977"/>
      <c r="J187" s="899" t="str">
        <f>E187</f>
        <v>------------------------</v>
      </c>
      <c r="K187" s="978"/>
    </row>
    <row r="188" spans="1:11">
      <c r="A188" s="768"/>
      <c r="B188" s="767"/>
      <c r="C188" s="767"/>
      <c r="D188" s="767"/>
      <c r="E188" s="767"/>
      <c r="F188" s="843" t="s">
        <v>1249</v>
      </c>
      <c r="G188" s="1406" t="e">
        <f>XONNOM &amp; " " &amp; XONPRE &amp; ", " &amp; TEXT(XONCP,"@@@@") &amp; " " &amp; XONLOC</f>
        <v>#VALUE!</v>
      </c>
      <c r="H188" s="1406"/>
      <c r="I188" s="1406"/>
      <c r="J188" s="1406"/>
      <c r="K188" s="1406"/>
    </row>
    <row r="189" spans="1:11">
      <c r="A189" s="768"/>
      <c r="B189" s="767"/>
      <c r="C189" s="767"/>
      <c r="D189" s="767"/>
      <c r="E189" s="767"/>
      <c r="F189" s="843" t="s">
        <v>68</v>
      </c>
      <c r="G189" s="1411">
        <f>J6</f>
        <v>0</v>
      </c>
      <c r="H189" s="1411"/>
      <c r="I189" s="903"/>
      <c r="J189" s="903"/>
      <c r="K189" s="767"/>
    </row>
    <row r="190" spans="1:11">
      <c r="A190" s="1033" t="s">
        <v>1303</v>
      </c>
      <c r="B190" s="767"/>
      <c r="C190" s="767"/>
      <c r="D190" s="767"/>
      <c r="E190" s="767"/>
      <c r="F190" s="767"/>
      <c r="G190" s="767"/>
      <c r="H190" s="768"/>
      <c r="I190" s="767"/>
      <c r="J190" s="767"/>
      <c r="K190" s="767"/>
    </row>
    <row r="191" spans="1:11">
      <c r="A191" s="983" t="s">
        <v>15</v>
      </c>
      <c r="B191" s="767"/>
      <c r="C191" s="767"/>
      <c r="D191" s="767"/>
      <c r="E191" s="767"/>
      <c r="F191" s="767"/>
      <c r="G191" s="767"/>
      <c r="H191" s="768"/>
      <c r="I191" s="767"/>
      <c r="J191" s="767"/>
      <c r="K191" s="767"/>
    </row>
    <row r="192" spans="1:11" ht="9.75" customHeight="1" thickBot="1">
      <c r="A192" s="768"/>
      <c r="B192" s="767"/>
      <c r="C192" s="767"/>
      <c r="D192" s="767"/>
      <c r="E192" s="767"/>
      <c r="F192" s="767"/>
      <c r="G192" s="767"/>
      <c r="H192" s="768"/>
      <c r="I192" s="767"/>
      <c r="J192" s="767"/>
      <c r="K192" s="767"/>
    </row>
    <row r="193" spans="1:11" ht="12" thickBot="1">
      <c r="A193" s="948"/>
      <c r="B193" s="905" t="s">
        <v>82</v>
      </c>
      <c r="C193" s="906"/>
      <c r="D193" s="906"/>
      <c r="E193" s="906"/>
      <c r="F193" s="907"/>
      <c r="G193" s="905" t="s">
        <v>83</v>
      </c>
      <c r="H193" s="908"/>
      <c r="I193" s="906"/>
      <c r="J193" s="906"/>
      <c r="K193" s="907"/>
    </row>
    <row r="194" spans="1:11">
      <c r="A194" s="949" t="s">
        <v>176</v>
      </c>
      <c r="B194" s="950" t="s">
        <v>177</v>
      </c>
      <c r="C194" s="951"/>
      <c r="D194" s="952" t="s">
        <v>178</v>
      </c>
      <c r="E194" s="953" t="s">
        <v>179</v>
      </c>
      <c r="F194" s="954" t="s">
        <v>134</v>
      </c>
      <c r="G194" s="950" t="s">
        <v>177</v>
      </c>
      <c r="H194" s="951"/>
      <c r="I194" s="952" t="s">
        <v>178</v>
      </c>
      <c r="J194" s="953" t="s">
        <v>179</v>
      </c>
      <c r="K194" s="954" t="s">
        <v>134</v>
      </c>
    </row>
    <row r="195" spans="1:11" ht="12" thickBot="1">
      <c r="A195" s="917"/>
      <c r="B195" s="956" t="s">
        <v>1168</v>
      </c>
      <c r="C195" s="957"/>
      <c r="D195" s="877" t="s">
        <v>37</v>
      </c>
      <c r="E195" s="958" t="s">
        <v>1171</v>
      </c>
      <c r="F195" s="959"/>
      <c r="G195" s="956" t="s">
        <v>1168</v>
      </c>
      <c r="H195" s="957"/>
      <c r="I195" s="877" t="s">
        <v>37</v>
      </c>
      <c r="J195" s="958" t="s">
        <v>1171</v>
      </c>
      <c r="K195" s="959"/>
    </row>
    <row r="196" spans="1:11">
      <c r="A196" s="1243" t="s">
        <v>1368</v>
      </c>
      <c r="B196" s="962"/>
      <c r="C196" s="963"/>
      <c r="D196" s="1362"/>
      <c r="E196" s="964"/>
      <c r="F196" s="913"/>
      <c r="G196" s="910"/>
      <c r="H196" s="912"/>
      <c r="I196" s="1367"/>
      <c r="J196" s="964"/>
      <c r="K196" s="913"/>
    </row>
    <row r="197" spans="1:11">
      <c r="A197" s="579" t="s">
        <v>1310</v>
      </c>
      <c r="B197" s="1321"/>
      <c r="C197" s="903"/>
      <c r="D197" s="1322"/>
      <c r="E197" s="1106"/>
      <c r="F197" s="806">
        <f>B197*D197*E197</f>
        <v>0</v>
      </c>
      <c r="G197" s="1323">
        <f>B197</f>
        <v>0</v>
      </c>
      <c r="H197" s="903"/>
      <c r="I197" s="1324">
        <f t="shared" ref="I197:J209" si="23">D197</f>
        <v>0</v>
      </c>
      <c r="J197" s="573">
        <f t="shared" si="23"/>
        <v>0</v>
      </c>
      <c r="K197" s="806">
        <f>G197*I197*J197</f>
        <v>0</v>
      </c>
    </row>
    <row r="198" spans="1:11">
      <c r="A198" s="579" t="s">
        <v>1305</v>
      </c>
      <c r="B198" s="1321"/>
      <c r="C198" s="903"/>
      <c r="D198" s="1322"/>
      <c r="E198" s="1106"/>
      <c r="F198" s="806">
        <f t="shared" ref="F198:F261" si="24">B198*D198*E198</f>
        <v>0</v>
      </c>
      <c r="G198" s="1323">
        <f t="shared" ref="G198:G236" si="25">B198</f>
        <v>0</v>
      </c>
      <c r="H198" s="903"/>
      <c r="I198" s="1324">
        <f t="shared" si="23"/>
        <v>0</v>
      </c>
      <c r="J198" s="573">
        <f t="shared" si="23"/>
        <v>0</v>
      </c>
      <c r="K198" s="806">
        <f t="shared" ref="K198:K261" si="26">G198*I198*J198</f>
        <v>0</v>
      </c>
    </row>
    <row r="199" spans="1:11">
      <c r="A199" s="579" t="s">
        <v>1306</v>
      </c>
      <c r="B199" s="1321"/>
      <c r="C199" s="903"/>
      <c r="D199" s="1322"/>
      <c r="E199" s="1106"/>
      <c r="F199" s="806">
        <f t="shared" si="24"/>
        <v>0</v>
      </c>
      <c r="G199" s="1323">
        <f t="shared" si="25"/>
        <v>0</v>
      </c>
      <c r="H199" s="903"/>
      <c r="I199" s="1324">
        <f t="shared" si="23"/>
        <v>0</v>
      </c>
      <c r="J199" s="573">
        <f t="shared" si="23"/>
        <v>0</v>
      </c>
      <c r="K199" s="806">
        <f t="shared" si="26"/>
        <v>0</v>
      </c>
    </row>
    <row r="200" spans="1:11">
      <c r="A200" s="579" t="s">
        <v>1307</v>
      </c>
      <c r="B200" s="1321"/>
      <c r="C200" s="903"/>
      <c r="D200" s="1322"/>
      <c r="E200" s="1106"/>
      <c r="F200" s="806">
        <f t="shared" si="24"/>
        <v>0</v>
      </c>
      <c r="G200" s="1323">
        <f t="shared" si="25"/>
        <v>0</v>
      </c>
      <c r="H200" s="903"/>
      <c r="I200" s="1324">
        <f t="shared" si="23"/>
        <v>0</v>
      </c>
      <c r="J200" s="573">
        <f t="shared" si="23"/>
        <v>0</v>
      </c>
      <c r="K200" s="806">
        <f t="shared" si="26"/>
        <v>0</v>
      </c>
    </row>
    <row r="201" spans="1:11">
      <c r="A201" s="579" t="s">
        <v>1311</v>
      </c>
      <c r="B201" s="1321"/>
      <c r="C201" s="903"/>
      <c r="D201" s="1322"/>
      <c r="E201" s="1106"/>
      <c r="F201" s="806">
        <f t="shared" si="24"/>
        <v>0</v>
      </c>
      <c r="G201" s="1323">
        <f t="shared" si="25"/>
        <v>0</v>
      </c>
      <c r="H201" s="903"/>
      <c r="I201" s="1324">
        <f t="shared" si="23"/>
        <v>0</v>
      </c>
      <c r="J201" s="573">
        <f t="shared" si="23"/>
        <v>0</v>
      </c>
      <c r="K201" s="806">
        <f t="shared" si="26"/>
        <v>0</v>
      </c>
    </row>
    <row r="202" spans="1:11">
      <c r="A202" s="579" t="s">
        <v>210</v>
      </c>
      <c r="B202" s="1321"/>
      <c r="C202" s="903"/>
      <c r="D202" s="1322"/>
      <c r="E202" s="1106"/>
      <c r="F202" s="806">
        <f t="shared" si="24"/>
        <v>0</v>
      </c>
      <c r="G202" s="1323">
        <f t="shared" si="25"/>
        <v>0</v>
      </c>
      <c r="H202" s="903"/>
      <c r="I202" s="1324">
        <f t="shared" si="23"/>
        <v>0</v>
      </c>
      <c r="J202" s="573">
        <f t="shared" si="23"/>
        <v>0</v>
      </c>
      <c r="K202" s="806">
        <f t="shared" si="26"/>
        <v>0</v>
      </c>
    </row>
    <row r="203" spans="1:11">
      <c r="A203" s="579" t="s">
        <v>1309</v>
      </c>
      <c r="B203" s="1321"/>
      <c r="C203" s="903"/>
      <c r="D203" s="1322"/>
      <c r="E203" s="1106"/>
      <c r="F203" s="806">
        <f t="shared" si="24"/>
        <v>0</v>
      </c>
      <c r="G203" s="1323">
        <f t="shared" si="25"/>
        <v>0</v>
      </c>
      <c r="H203" s="903"/>
      <c r="I203" s="1324">
        <f t="shared" si="23"/>
        <v>0</v>
      </c>
      <c r="J203" s="573">
        <f t="shared" si="23"/>
        <v>0</v>
      </c>
      <c r="K203" s="806">
        <f t="shared" si="26"/>
        <v>0</v>
      </c>
    </row>
    <row r="204" spans="1:11">
      <c r="A204" s="579" t="s">
        <v>1308</v>
      </c>
      <c r="B204" s="1321"/>
      <c r="C204" s="903"/>
      <c r="D204" s="1322"/>
      <c r="E204" s="1106"/>
      <c r="F204" s="806">
        <f t="shared" si="24"/>
        <v>0</v>
      </c>
      <c r="G204" s="1323">
        <f t="shared" si="25"/>
        <v>0</v>
      </c>
      <c r="H204" s="903"/>
      <c r="I204" s="1324">
        <f t="shared" si="23"/>
        <v>0</v>
      </c>
      <c r="J204" s="573">
        <f t="shared" si="23"/>
        <v>0</v>
      </c>
      <c r="K204" s="806">
        <f t="shared" si="26"/>
        <v>0</v>
      </c>
    </row>
    <row r="205" spans="1:11">
      <c r="A205" s="579" t="s">
        <v>1312</v>
      </c>
      <c r="B205" s="1321"/>
      <c r="C205" s="903"/>
      <c r="D205" s="1322"/>
      <c r="E205" s="1106"/>
      <c r="F205" s="806">
        <f t="shared" si="24"/>
        <v>0</v>
      </c>
      <c r="G205" s="1323">
        <f t="shared" si="25"/>
        <v>0</v>
      </c>
      <c r="H205" s="903"/>
      <c r="I205" s="1324">
        <f t="shared" si="23"/>
        <v>0</v>
      </c>
      <c r="J205" s="573">
        <f t="shared" si="23"/>
        <v>0</v>
      </c>
      <c r="K205" s="806">
        <f t="shared" si="26"/>
        <v>0</v>
      </c>
    </row>
    <row r="206" spans="1:11">
      <c r="A206" s="579" t="s">
        <v>1313</v>
      </c>
      <c r="B206" s="1321"/>
      <c r="C206" s="903"/>
      <c r="D206" s="1322"/>
      <c r="E206" s="1106"/>
      <c r="F206" s="806">
        <f t="shared" si="24"/>
        <v>0</v>
      </c>
      <c r="G206" s="1323">
        <f t="shared" si="25"/>
        <v>0</v>
      </c>
      <c r="H206" s="903"/>
      <c r="I206" s="1324">
        <f t="shared" si="23"/>
        <v>0</v>
      </c>
      <c r="J206" s="573">
        <f t="shared" si="23"/>
        <v>0</v>
      </c>
      <c r="K206" s="806">
        <f t="shared" si="26"/>
        <v>0</v>
      </c>
    </row>
    <row r="207" spans="1:11">
      <c r="A207" s="579" t="s">
        <v>1304</v>
      </c>
      <c r="B207" s="1321"/>
      <c r="C207" s="903"/>
      <c r="D207" s="1322"/>
      <c r="E207" s="1106"/>
      <c r="F207" s="806">
        <f t="shared" si="24"/>
        <v>0</v>
      </c>
      <c r="G207" s="1323">
        <f t="shared" si="25"/>
        <v>0</v>
      </c>
      <c r="H207" s="903"/>
      <c r="I207" s="1324">
        <f t="shared" si="23"/>
        <v>0</v>
      </c>
      <c r="J207" s="573">
        <f t="shared" si="23"/>
        <v>0</v>
      </c>
      <c r="K207" s="806">
        <f t="shared" si="26"/>
        <v>0</v>
      </c>
    </row>
    <row r="208" spans="1:11">
      <c r="A208" s="579" t="s">
        <v>1304</v>
      </c>
      <c r="B208" s="1321"/>
      <c r="C208" s="903"/>
      <c r="D208" s="1322"/>
      <c r="E208" s="1106"/>
      <c r="F208" s="806">
        <f t="shared" si="24"/>
        <v>0</v>
      </c>
      <c r="G208" s="1323">
        <f t="shared" si="25"/>
        <v>0</v>
      </c>
      <c r="H208" s="903"/>
      <c r="I208" s="1324">
        <f t="shared" si="23"/>
        <v>0</v>
      </c>
      <c r="J208" s="573">
        <f t="shared" si="23"/>
        <v>0</v>
      </c>
      <c r="K208" s="806">
        <f t="shared" si="26"/>
        <v>0</v>
      </c>
    </row>
    <row r="209" spans="1:11">
      <c r="A209" s="579" t="s">
        <v>1304</v>
      </c>
      <c r="B209" s="1321"/>
      <c r="C209" s="968"/>
      <c r="D209" s="1322"/>
      <c r="E209" s="1106"/>
      <c r="F209" s="806">
        <f t="shared" si="24"/>
        <v>0</v>
      </c>
      <c r="G209" s="1323">
        <f t="shared" si="25"/>
        <v>0</v>
      </c>
      <c r="H209" s="968"/>
      <c r="I209" s="1324">
        <f t="shared" si="23"/>
        <v>0</v>
      </c>
      <c r="J209" s="573">
        <f t="shared" si="23"/>
        <v>0</v>
      </c>
      <c r="K209" s="806">
        <f t="shared" si="26"/>
        <v>0</v>
      </c>
    </row>
    <row r="210" spans="1:11">
      <c r="A210" s="1244" t="s">
        <v>1369</v>
      </c>
      <c r="B210" s="633"/>
      <c r="C210" s="1008"/>
      <c r="D210" s="1325"/>
      <c r="E210" s="608"/>
      <c r="F210" s="1245"/>
      <c r="G210" s="633">
        <f t="shared" si="25"/>
        <v>0</v>
      </c>
      <c r="H210" s="1008"/>
      <c r="I210" s="1325">
        <f>D210</f>
        <v>0</v>
      </c>
      <c r="J210" s="608">
        <f>E210</f>
        <v>0</v>
      </c>
      <c r="K210" s="1245"/>
    </row>
    <row r="211" spans="1:11">
      <c r="A211" s="579" t="s">
        <v>1315</v>
      </c>
      <c r="B211" s="1321"/>
      <c r="C211" s="903"/>
      <c r="D211" s="1322"/>
      <c r="E211" s="1106"/>
      <c r="F211" s="806">
        <f t="shared" si="24"/>
        <v>0</v>
      </c>
      <c r="G211" s="1323">
        <f t="shared" si="25"/>
        <v>0</v>
      </c>
      <c r="H211" s="903"/>
      <c r="I211" s="1324">
        <f>D211</f>
        <v>0</v>
      </c>
      <c r="J211" s="573">
        <f>E211</f>
        <v>0</v>
      </c>
      <c r="K211" s="806">
        <f t="shared" si="26"/>
        <v>0</v>
      </c>
    </row>
    <row r="212" spans="1:11">
      <c r="A212" s="579" t="s">
        <v>1314</v>
      </c>
      <c r="B212" s="1321"/>
      <c r="C212" s="903"/>
      <c r="D212" s="1322"/>
      <c r="E212" s="1106"/>
      <c r="F212" s="806">
        <f t="shared" si="24"/>
        <v>0</v>
      </c>
      <c r="G212" s="1323">
        <f t="shared" si="25"/>
        <v>0</v>
      </c>
      <c r="H212" s="903"/>
      <c r="I212" s="1324">
        <f t="shared" ref="I212:J236" si="27">D212</f>
        <v>0</v>
      </c>
      <c r="J212" s="573">
        <f t="shared" si="27"/>
        <v>0</v>
      </c>
      <c r="K212" s="806">
        <f t="shared" si="26"/>
        <v>0</v>
      </c>
    </row>
    <row r="213" spans="1:11">
      <c r="A213" s="579" t="s">
        <v>1310</v>
      </c>
      <c r="B213" s="1321"/>
      <c r="C213" s="903"/>
      <c r="D213" s="1322"/>
      <c r="E213" s="1106"/>
      <c r="F213" s="806">
        <f t="shared" si="24"/>
        <v>0</v>
      </c>
      <c r="G213" s="1323">
        <f t="shared" si="25"/>
        <v>0</v>
      </c>
      <c r="H213" s="903"/>
      <c r="I213" s="1324">
        <f t="shared" si="27"/>
        <v>0</v>
      </c>
      <c r="J213" s="573">
        <f t="shared" si="27"/>
        <v>0</v>
      </c>
      <c r="K213" s="806">
        <f t="shared" si="26"/>
        <v>0</v>
      </c>
    </row>
    <row r="214" spans="1:11">
      <c r="A214" s="579" t="s">
        <v>6</v>
      </c>
      <c r="B214" s="1321"/>
      <c r="C214" s="903"/>
      <c r="D214" s="1322"/>
      <c r="E214" s="1106"/>
      <c r="F214" s="806">
        <f t="shared" si="24"/>
        <v>0</v>
      </c>
      <c r="G214" s="1323">
        <f t="shared" si="25"/>
        <v>0</v>
      </c>
      <c r="H214" s="903"/>
      <c r="I214" s="1324">
        <f t="shared" si="27"/>
        <v>0</v>
      </c>
      <c r="J214" s="573">
        <f t="shared" si="27"/>
        <v>0</v>
      </c>
      <c r="K214" s="806">
        <f t="shared" si="26"/>
        <v>0</v>
      </c>
    </row>
    <row r="215" spans="1:11">
      <c r="A215" s="579" t="s">
        <v>195</v>
      </c>
      <c r="B215" s="1321"/>
      <c r="C215" s="903"/>
      <c r="D215" s="1322"/>
      <c r="E215" s="1106"/>
      <c r="F215" s="806">
        <f t="shared" si="24"/>
        <v>0</v>
      </c>
      <c r="G215" s="1323">
        <f t="shared" si="25"/>
        <v>0</v>
      </c>
      <c r="H215" s="903"/>
      <c r="I215" s="1324">
        <f t="shared" si="27"/>
        <v>0</v>
      </c>
      <c r="J215" s="573">
        <f t="shared" si="27"/>
        <v>0</v>
      </c>
      <c r="K215" s="806">
        <f t="shared" si="26"/>
        <v>0</v>
      </c>
    </row>
    <row r="216" spans="1:11">
      <c r="A216" s="579" t="s">
        <v>1316</v>
      </c>
      <c r="B216" s="1321"/>
      <c r="C216" s="903"/>
      <c r="D216" s="1322"/>
      <c r="E216" s="1106"/>
      <c r="F216" s="806">
        <f t="shared" si="24"/>
        <v>0</v>
      </c>
      <c r="G216" s="1323">
        <f t="shared" si="25"/>
        <v>0</v>
      </c>
      <c r="H216" s="903"/>
      <c r="I216" s="1324">
        <f t="shared" si="27"/>
        <v>0</v>
      </c>
      <c r="J216" s="573">
        <f t="shared" si="27"/>
        <v>0</v>
      </c>
      <c r="K216" s="806">
        <f t="shared" si="26"/>
        <v>0</v>
      </c>
    </row>
    <row r="217" spans="1:11">
      <c r="A217" s="579" t="s">
        <v>197</v>
      </c>
      <c r="B217" s="1321"/>
      <c r="C217" s="903"/>
      <c r="D217" s="1322"/>
      <c r="E217" s="1106"/>
      <c r="F217" s="806">
        <f t="shared" si="24"/>
        <v>0</v>
      </c>
      <c r="G217" s="1323">
        <f t="shared" si="25"/>
        <v>0</v>
      </c>
      <c r="H217" s="903"/>
      <c r="I217" s="1324">
        <f t="shared" si="27"/>
        <v>0</v>
      </c>
      <c r="J217" s="573">
        <f t="shared" si="27"/>
        <v>0</v>
      </c>
      <c r="K217" s="806">
        <f t="shared" si="26"/>
        <v>0</v>
      </c>
    </row>
    <row r="218" spans="1:11">
      <c r="A218" s="579" t="s">
        <v>1307</v>
      </c>
      <c r="B218" s="1321"/>
      <c r="C218" s="903"/>
      <c r="D218" s="1322"/>
      <c r="E218" s="1106"/>
      <c r="F218" s="806">
        <f t="shared" si="24"/>
        <v>0</v>
      </c>
      <c r="G218" s="1323">
        <f t="shared" si="25"/>
        <v>0</v>
      </c>
      <c r="H218" s="903"/>
      <c r="I218" s="1324">
        <f t="shared" si="27"/>
        <v>0</v>
      </c>
      <c r="J218" s="573">
        <f t="shared" si="27"/>
        <v>0</v>
      </c>
      <c r="K218" s="806">
        <f t="shared" si="26"/>
        <v>0</v>
      </c>
    </row>
    <row r="219" spans="1:11">
      <c r="A219" s="579" t="s">
        <v>55</v>
      </c>
      <c r="B219" s="1321"/>
      <c r="C219" s="903"/>
      <c r="D219" s="1322"/>
      <c r="E219" s="1106"/>
      <c r="F219" s="806">
        <f t="shared" si="24"/>
        <v>0</v>
      </c>
      <c r="G219" s="1323">
        <f t="shared" si="25"/>
        <v>0</v>
      </c>
      <c r="H219" s="903"/>
      <c r="I219" s="1324">
        <f t="shared" si="27"/>
        <v>0</v>
      </c>
      <c r="J219" s="573">
        <f t="shared" si="27"/>
        <v>0</v>
      </c>
      <c r="K219" s="806">
        <f t="shared" si="26"/>
        <v>0</v>
      </c>
    </row>
    <row r="220" spans="1:11">
      <c r="A220" s="579" t="s">
        <v>7</v>
      </c>
      <c r="B220" s="1321"/>
      <c r="C220" s="903"/>
      <c r="D220" s="1322"/>
      <c r="E220" s="1106"/>
      <c r="F220" s="806">
        <f t="shared" si="24"/>
        <v>0</v>
      </c>
      <c r="G220" s="1323">
        <f t="shared" si="25"/>
        <v>0</v>
      </c>
      <c r="H220" s="903"/>
      <c r="I220" s="1324">
        <f t="shared" si="27"/>
        <v>0</v>
      </c>
      <c r="J220" s="573">
        <f t="shared" si="27"/>
        <v>0</v>
      </c>
      <c r="K220" s="806">
        <f t="shared" si="26"/>
        <v>0</v>
      </c>
    </row>
    <row r="221" spans="1:11">
      <c r="A221" s="646" t="s">
        <v>8</v>
      </c>
      <c r="B221" s="1321"/>
      <c r="C221" s="903"/>
      <c r="D221" s="1322"/>
      <c r="E221" s="1106"/>
      <c r="F221" s="806">
        <f t="shared" si="24"/>
        <v>0</v>
      </c>
      <c r="G221" s="1323">
        <f t="shared" si="25"/>
        <v>0</v>
      </c>
      <c r="H221" s="903"/>
      <c r="I221" s="1324">
        <f t="shared" si="27"/>
        <v>0</v>
      </c>
      <c r="J221" s="573">
        <f t="shared" si="27"/>
        <v>0</v>
      </c>
      <c r="K221" s="806">
        <f t="shared" si="26"/>
        <v>0</v>
      </c>
    </row>
    <row r="222" spans="1:11">
      <c r="A222" s="579" t="s">
        <v>1317</v>
      </c>
      <c r="B222" s="1321"/>
      <c r="C222" s="903"/>
      <c r="D222" s="1322"/>
      <c r="E222" s="1106"/>
      <c r="F222" s="806">
        <f t="shared" si="24"/>
        <v>0</v>
      </c>
      <c r="G222" s="1323">
        <f t="shared" si="25"/>
        <v>0</v>
      </c>
      <c r="H222" s="903"/>
      <c r="I222" s="1324">
        <f t="shared" si="27"/>
        <v>0</v>
      </c>
      <c r="J222" s="573">
        <f t="shared" si="27"/>
        <v>0</v>
      </c>
      <c r="K222" s="806">
        <f t="shared" si="26"/>
        <v>0</v>
      </c>
    </row>
    <row r="223" spans="1:11">
      <c r="A223" s="579" t="s">
        <v>1311</v>
      </c>
      <c r="B223" s="1321"/>
      <c r="C223" s="903"/>
      <c r="D223" s="1322"/>
      <c r="E223" s="1106"/>
      <c r="F223" s="806">
        <f t="shared" si="24"/>
        <v>0</v>
      </c>
      <c r="G223" s="1323">
        <f t="shared" si="25"/>
        <v>0</v>
      </c>
      <c r="H223" s="903"/>
      <c r="I223" s="1324">
        <f t="shared" si="27"/>
        <v>0</v>
      </c>
      <c r="J223" s="573">
        <f t="shared" si="27"/>
        <v>0</v>
      </c>
      <c r="K223" s="806">
        <f t="shared" si="26"/>
        <v>0</v>
      </c>
    </row>
    <row r="224" spans="1:11">
      <c r="A224" s="579" t="s">
        <v>210</v>
      </c>
      <c r="B224" s="1321"/>
      <c r="C224" s="903"/>
      <c r="D224" s="1322"/>
      <c r="E224" s="1106"/>
      <c r="F224" s="806">
        <f t="shared" si="24"/>
        <v>0</v>
      </c>
      <c r="G224" s="1323">
        <f t="shared" si="25"/>
        <v>0</v>
      </c>
      <c r="H224" s="903"/>
      <c r="I224" s="1324">
        <f t="shared" si="27"/>
        <v>0</v>
      </c>
      <c r="J224" s="573">
        <f t="shared" si="27"/>
        <v>0</v>
      </c>
      <c r="K224" s="806">
        <f t="shared" si="26"/>
        <v>0</v>
      </c>
    </row>
    <row r="225" spans="1:11">
      <c r="A225" s="579" t="s">
        <v>1318</v>
      </c>
      <c r="B225" s="1321"/>
      <c r="C225" s="903"/>
      <c r="D225" s="1322"/>
      <c r="E225" s="1106"/>
      <c r="F225" s="806">
        <f t="shared" si="24"/>
        <v>0</v>
      </c>
      <c r="G225" s="1323">
        <f t="shared" si="25"/>
        <v>0</v>
      </c>
      <c r="H225" s="903"/>
      <c r="I225" s="1324">
        <f t="shared" si="27"/>
        <v>0</v>
      </c>
      <c r="J225" s="573">
        <f t="shared" si="27"/>
        <v>0</v>
      </c>
      <c r="K225" s="806">
        <f t="shared" si="26"/>
        <v>0</v>
      </c>
    </row>
    <row r="226" spans="1:11">
      <c r="A226" s="579" t="s">
        <v>1309</v>
      </c>
      <c r="B226" s="1321"/>
      <c r="C226" s="903"/>
      <c r="D226" s="1322"/>
      <c r="E226" s="1106"/>
      <c r="F226" s="806">
        <f t="shared" si="24"/>
        <v>0</v>
      </c>
      <c r="G226" s="1323">
        <f t="shared" si="25"/>
        <v>0</v>
      </c>
      <c r="H226" s="903"/>
      <c r="I226" s="1324">
        <f t="shared" si="27"/>
        <v>0</v>
      </c>
      <c r="J226" s="573">
        <f t="shared" si="27"/>
        <v>0</v>
      </c>
      <c r="K226" s="806">
        <f t="shared" si="26"/>
        <v>0</v>
      </c>
    </row>
    <row r="227" spans="1:11">
      <c r="A227" s="579" t="s">
        <v>1308</v>
      </c>
      <c r="B227" s="1321"/>
      <c r="C227" s="903"/>
      <c r="D227" s="1322"/>
      <c r="E227" s="1106"/>
      <c r="F227" s="806">
        <f t="shared" si="24"/>
        <v>0</v>
      </c>
      <c r="G227" s="1323">
        <f t="shared" si="25"/>
        <v>0</v>
      </c>
      <c r="H227" s="903"/>
      <c r="I227" s="1324">
        <f t="shared" si="27"/>
        <v>0</v>
      </c>
      <c r="J227" s="573">
        <f t="shared" si="27"/>
        <v>0</v>
      </c>
      <c r="K227" s="806">
        <f t="shared" si="26"/>
        <v>0</v>
      </c>
    </row>
    <row r="228" spans="1:11">
      <c r="A228" s="579" t="s">
        <v>1319</v>
      </c>
      <c r="B228" s="1321"/>
      <c r="C228" s="903"/>
      <c r="D228" s="1322"/>
      <c r="E228" s="1106"/>
      <c r="F228" s="806">
        <f t="shared" si="24"/>
        <v>0</v>
      </c>
      <c r="G228" s="1323">
        <f t="shared" si="25"/>
        <v>0</v>
      </c>
      <c r="H228" s="903"/>
      <c r="I228" s="1324">
        <f t="shared" si="27"/>
        <v>0</v>
      </c>
      <c r="J228" s="573">
        <f t="shared" si="27"/>
        <v>0</v>
      </c>
      <c r="K228" s="806">
        <f t="shared" si="26"/>
        <v>0</v>
      </c>
    </row>
    <row r="229" spans="1:11">
      <c r="A229" s="579" t="s">
        <v>1320</v>
      </c>
      <c r="B229" s="1321"/>
      <c r="C229" s="903"/>
      <c r="D229" s="1322"/>
      <c r="E229" s="1106"/>
      <c r="F229" s="806">
        <f t="shared" si="24"/>
        <v>0</v>
      </c>
      <c r="G229" s="1323">
        <f t="shared" si="25"/>
        <v>0</v>
      </c>
      <c r="H229" s="903"/>
      <c r="I229" s="1324">
        <f t="shared" si="27"/>
        <v>0</v>
      </c>
      <c r="J229" s="573">
        <f t="shared" si="27"/>
        <v>0</v>
      </c>
      <c r="K229" s="806">
        <f t="shared" si="26"/>
        <v>0</v>
      </c>
    </row>
    <row r="230" spans="1:11">
      <c r="A230" s="579" t="s">
        <v>1321</v>
      </c>
      <c r="B230" s="1321"/>
      <c r="C230" s="903"/>
      <c r="D230" s="1322"/>
      <c r="E230" s="1106"/>
      <c r="F230" s="806">
        <f t="shared" si="24"/>
        <v>0</v>
      </c>
      <c r="G230" s="1323">
        <f t="shared" si="25"/>
        <v>0</v>
      </c>
      <c r="H230" s="903"/>
      <c r="I230" s="1324">
        <f t="shared" si="27"/>
        <v>0</v>
      </c>
      <c r="J230" s="573">
        <f t="shared" si="27"/>
        <v>0</v>
      </c>
      <c r="K230" s="806">
        <f t="shared" si="26"/>
        <v>0</v>
      </c>
    </row>
    <row r="231" spans="1:11">
      <c r="A231" s="579" t="s">
        <v>1322</v>
      </c>
      <c r="B231" s="1321"/>
      <c r="C231" s="903"/>
      <c r="D231" s="1322"/>
      <c r="E231" s="1106"/>
      <c r="F231" s="806">
        <f t="shared" si="24"/>
        <v>0</v>
      </c>
      <c r="G231" s="1323">
        <f t="shared" si="25"/>
        <v>0</v>
      </c>
      <c r="H231" s="903"/>
      <c r="I231" s="1324">
        <f t="shared" si="27"/>
        <v>0</v>
      </c>
      <c r="J231" s="573">
        <f t="shared" si="27"/>
        <v>0</v>
      </c>
      <c r="K231" s="806">
        <f t="shared" si="26"/>
        <v>0</v>
      </c>
    </row>
    <row r="232" spans="1:11">
      <c r="A232" s="579" t="s">
        <v>56</v>
      </c>
      <c r="B232" s="1321"/>
      <c r="C232" s="903"/>
      <c r="D232" s="1322"/>
      <c r="E232" s="1106"/>
      <c r="F232" s="806">
        <f t="shared" si="24"/>
        <v>0</v>
      </c>
      <c r="G232" s="1323">
        <f t="shared" si="25"/>
        <v>0</v>
      </c>
      <c r="H232" s="903"/>
      <c r="I232" s="1324">
        <f t="shared" si="27"/>
        <v>0</v>
      </c>
      <c r="J232" s="573">
        <f t="shared" si="27"/>
        <v>0</v>
      </c>
      <c r="K232" s="806">
        <f t="shared" si="26"/>
        <v>0</v>
      </c>
    </row>
    <row r="233" spans="1:11">
      <c r="A233" s="579" t="s">
        <v>57</v>
      </c>
      <c r="B233" s="1321"/>
      <c r="C233" s="903"/>
      <c r="D233" s="1322"/>
      <c r="E233" s="1106"/>
      <c r="F233" s="806">
        <f t="shared" si="24"/>
        <v>0</v>
      </c>
      <c r="G233" s="1323">
        <f t="shared" si="25"/>
        <v>0</v>
      </c>
      <c r="H233" s="903"/>
      <c r="I233" s="1324">
        <f t="shared" si="27"/>
        <v>0</v>
      </c>
      <c r="J233" s="573">
        <f t="shared" si="27"/>
        <v>0</v>
      </c>
      <c r="K233" s="806">
        <f t="shared" si="26"/>
        <v>0</v>
      </c>
    </row>
    <row r="234" spans="1:11">
      <c r="A234" s="579" t="s">
        <v>1304</v>
      </c>
      <c r="B234" s="1321"/>
      <c r="C234" s="903"/>
      <c r="D234" s="1322"/>
      <c r="E234" s="1106"/>
      <c r="F234" s="806">
        <f t="shared" si="24"/>
        <v>0</v>
      </c>
      <c r="G234" s="1323">
        <f t="shared" si="25"/>
        <v>0</v>
      </c>
      <c r="H234" s="903"/>
      <c r="I234" s="1324">
        <f t="shared" si="27"/>
        <v>0</v>
      </c>
      <c r="J234" s="573">
        <f t="shared" si="27"/>
        <v>0</v>
      </c>
      <c r="K234" s="806">
        <f t="shared" si="26"/>
        <v>0</v>
      </c>
    </row>
    <row r="235" spans="1:11">
      <c r="A235" s="579" t="s">
        <v>1304</v>
      </c>
      <c r="B235" s="1321"/>
      <c r="C235" s="903"/>
      <c r="D235" s="1322"/>
      <c r="E235" s="1106"/>
      <c r="F235" s="806">
        <f t="shared" si="24"/>
        <v>0</v>
      </c>
      <c r="G235" s="1323">
        <f t="shared" si="25"/>
        <v>0</v>
      </c>
      <c r="H235" s="903"/>
      <c r="I235" s="1324">
        <f t="shared" si="27"/>
        <v>0</v>
      </c>
      <c r="J235" s="573">
        <f t="shared" si="27"/>
        <v>0</v>
      </c>
      <c r="K235" s="806">
        <f t="shared" si="26"/>
        <v>0</v>
      </c>
    </row>
    <row r="236" spans="1:11">
      <c r="A236" s="1240" t="s">
        <v>1304</v>
      </c>
      <c r="B236" s="1326"/>
      <c r="C236" s="1327"/>
      <c r="D236" s="1328"/>
      <c r="E236" s="1241"/>
      <c r="F236" s="1255">
        <f t="shared" si="24"/>
        <v>0</v>
      </c>
      <c r="G236" s="1329">
        <f t="shared" si="25"/>
        <v>0</v>
      </c>
      <c r="H236" s="1327"/>
      <c r="I236" s="1330">
        <f t="shared" si="27"/>
        <v>0</v>
      </c>
      <c r="J236" s="1242">
        <f t="shared" si="27"/>
        <v>0</v>
      </c>
      <c r="K236" s="1255">
        <f t="shared" si="26"/>
        <v>0</v>
      </c>
    </row>
    <row r="237" spans="1:11">
      <c r="A237" s="1244" t="s">
        <v>1370</v>
      </c>
      <c r="B237" s="633"/>
      <c r="C237" s="1008"/>
      <c r="D237" s="1325"/>
      <c r="E237" s="608"/>
      <c r="F237" s="1245"/>
      <c r="G237" s="633">
        <f>B237</f>
        <v>0</v>
      </c>
      <c r="H237" s="1008"/>
      <c r="I237" s="1325">
        <f t="shared" ref="I237:J252" si="28">D237</f>
        <v>0</v>
      </c>
      <c r="J237" s="608">
        <f t="shared" si="28"/>
        <v>0</v>
      </c>
      <c r="K237" s="1245"/>
    </row>
    <row r="238" spans="1:11">
      <c r="A238" s="579" t="s">
        <v>1323</v>
      </c>
      <c r="B238" s="1321"/>
      <c r="C238" s="903"/>
      <c r="D238" s="1322"/>
      <c r="E238" s="1106"/>
      <c r="F238" s="806">
        <f t="shared" si="24"/>
        <v>0</v>
      </c>
      <c r="G238" s="1323">
        <f>B238</f>
        <v>0</v>
      </c>
      <c r="H238" s="903"/>
      <c r="I238" s="1324">
        <f t="shared" si="28"/>
        <v>0</v>
      </c>
      <c r="J238" s="573">
        <f t="shared" si="28"/>
        <v>0</v>
      </c>
      <c r="K238" s="806">
        <f t="shared" si="26"/>
        <v>0</v>
      </c>
    </row>
    <row r="239" spans="1:11">
      <c r="A239" s="579" t="s">
        <v>1324</v>
      </c>
      <c r="B239" s="1321"/>
      <c r="C239" s="903"/>
      <c r="D239" s="1322"/>
      <c r="E239" s="1106"/>
      <c r="F239" s="806">
        <f t="shared" si="24"/>
        <v>0</v>
      </c>
      <c r="G239" s="1323">
        <f t="shared" ref="G239:G246" si="29">B239</f>
        <v>0</v>
      </c>
      <c r="H239" s="903"/>
      <c r="I239" s="1324">
        <f t="shared" si="28"/>
        <v>0</v>
      </c>
      <c r="J239" s="573">
        <f t="shared" si="28"/>
        <v>0</v>
      </c>
      <c r="K239" s="806">
        <f t="shared" si="26"/>
        <v>0</v>
      </c>
    </row>
    <row r="240" spans="1:11">
      <c r="A240" s="579" t="s">
        <v>1327</v>
      </c>
      <c r="B240" s="1321"/>
      <c r="C240" s="903"/>
      <c r="D240" s="1322"/>
      <c r="E240" s="1106"/>
      <c r="F240" s="806">
        <f t="shared" si="24"/>
        <v>0</v>
      </c>
      <c r="G240" s="1323">
        <f t="shared" si="29"/>
        <v>0</v>
      </c>
      <c r="H240" s="903"/>
      <c r="I240" s="1324">
        <f t="shared" si="28"/>
        <v>0</v>
      </c>
      <c r="J240" s="573">
        <f t="shared" si="28"/>
        <v>0</v>
      </c>
      <c r="K240" s="806">
        <f t="shared" si="26"/>
        <v>0</v>
      </c>
    </row>
    <row r="241" spans="1:11">
      <c r="A241" s="579" t="s">
        <v>1326</v>
      </c>
      <c r="B241" s="1321"/>
      <c r="C241" s="903"/>
      <c r="D241" s="1322"/>
      <c r="E241" s="1106"/>
      <c r="F241" s="806">
        <f t="shared" si="24"/>
        <v>0</v>
      </c>
      <c r="G241" s="1323">
        <f t="shared" si="29"/>
        <v>0</v>
      </c>
      <c r="H241" s="903"/>
      <c r="I241" s="1324">
        <f t="shared" si="28"/>
        <v>0</v>
      </c>
      <c r="J241" s="573">
        <f t="shared" si="28"/>
        <v>0</v>
      </c>
      <c r="K241" s="806">
        <f t="shared" si="26"/>
        <v>0</v>
      </c>
    </row>
    <row r="242" spans="1:11">
      <c r="A242" s="579" t="s">
        <v>1325</v>
      </c>
      <c r="B242" s="1321"/>
      <c r="C242" s="903"/>
      <c r="D242" s="1322"/>
      <c r="E242" s="1106"/>
      <c r="F242" s="806">
        <f t="shared" si="24"/>
        <v>0</v>
      </c>
      <c r="G242" s="1323">
        <f t="shared" si="29"/>
        <v>0</v>
      </c>
      <c r="H242" s="903"/>
      <c r="I242" s="1324">
        <f t="shared" si="28"/>
        <v>0</v>
      </c>
      <c r="J242" s="573">
        <f t="shared" si="28"/>
        <v>0</v>
      </c>
      <c r="K242" s="806">
        <f t="shared" si="26"/>
        <v>0</v>
      </c>
    </row>
    <row r="243" spans="1:11">
      <c r="A243" s="579" t="s">
        <v>1328</v>
      </c>
      <c r="B243" s="1321"/>
      <c r="C243" s="903"/>
      <c r="D243" s="1322"/>
      <c r="E243" s="1106"/>
      <c r="F243" s="806">
        <f t="shared" si="24"/>
        <v>0</v>
      </c>
      <c r="G243" s="1323">
        <f t="shared" si="29"/>
        <v>0</v>
      </c>
      <c r="H243" s="903"/>
      <c r="I243" s="1324">
        <f t="shared" si="28"/>
        <v>0</v>
      </c>
      <c r="J243" s="573">
        <f t="shared" si="28"/>
        <v>0</v>
      </c>
      <c r="K243" s="806">
        <f t="shared" si="26"/>
        <v>0</v>
      </c>
    </row>
    <row r="244" spans="1:11">
      <c r="A244" s="579" t="s">
        <v>1304</v>
      </c>
      <c r="B244" s="1321"/>
      <c r="C244" s="903"/>
      <c r="D244" s="1322"/>
      <c r="E244" s="1106"/>
      <c r="F244" s="806">
        <f t="shared" si="24"/>
        <v>0</v>
      </c>
      <c r="G244" s="1323">
        <f t="shared" si="29"/>
        <v>0</v>
      </c>
      <c r="H244" s="903"/>
      <c r="I244" s="1324">
        <f t="shared" si="28"/>
        <v>0</v>
      </c>
      <c r="J244" s="573">
        <f t="shared" si="28"/>
        <v>0</v>
      </c>
      <c r="K244" s="806">
        <f t="shared" si="26"/>
        <v>0</v>
      </c>
    </row>
    <row r="245" spans="1:11">
      <c r="A245" s="579" t="s">
        <v>1304</v>
      </c>
      <c r="B245" s="1321"/>
      <c r="C245" s="903"/>
      <c r="D245" s="1322"/>
      <c r="E245" s="1106"/>
      <c r="F245" s="806">
        <f t="shared" si="24"/>
        <v>0</v>
      </c>
      <c r="G245" s="1323">
        <f t="shared" si="29"/>
        <v>0</v>
      </c>
      <c r="H245" s="903"/>
      <c r="I245" s="1324">
        <f t="shared" si="28"/>
        <v>0</v>
      </c>
      <c r="J245" s="573">
        <f t="shared" si="28"/>
        <v>0</v>
      </c>
      <c r="K245" s="806">
        <f t="shared" si="26"/>
        <v>0</v>
      </c>
    </row>
    <row r="246" spans="1:11">
      <c r="A246" s="579" t="s">
        <v>1304</v>
      </c>
      <c r="B246" s="1321"/>
      <c r="C246" s="968"/>
      <c r="D246" s="1322"/>
      <c r="E246" s="1106"/>
      <c r="F246" s="806">
        <f t="shared" si="24"/>
        <v>0</v>
      </c>
      <c r="G246" s="1323">
        <f t="shared" si="29"/>
        <v>0</v>
      </c>
      <c r="H246" s="968"/>
      <c r="I246" s="1324">
        <f t="shared" si="28"/>
        <v>0</v>
      </c>
      <c r="J246" s="573">
        <f t="shared" si="28"/>
        <v>0</v>
      </c>
      <c r="K246" s="806">
        <f t="shared" si="26"/>
        <v>0</v>
      </c>
    </row>
    <row r="247" spans="1:11">
      <c r="A247" s="1244" t="s">
        <v>1371</v>
      </c>
      <c r="B247" s="633"/>
      <c r="C247" s="1008"/>
      <c r="D247" s="1325"/>
      <c r="E247" s="608"/>
      <c r="F247" s="1245"/>
      <c r="G247" s="633">
        <f>B247</f>
        <v>0</v>
      </c>
      <c r="H247" s="1008"/>
      <c r="I247" s="1325">
        <f t="shared" si="28"/>
        <v>0</v>
      </c>
      <c r="J247" s="608">
        <f t="shared" si="28"/>
        <v>0</v>
      </c>
      <c r="K247" s="1245"/>
    </row>
    <row r="248" spans="1:11">
      <c r="A248" s="579" t="s">
        <v>1331</v>
      </c>
      <c r="B248" s="1321"/>
      <c r="C248" s="903"/>
      <c r="D248" s="1322"/>
      <c r="E248" s="1106"/>
      <c r="F248" s="806">
        <f t="shared" si="24"/>
        <v>0</v>
      </c>
      <c r="G248" s="1323">
        <f>B248</f>
        <v>0</v>
      </c>
      <c r="H248" s="903"/>
      <c r="I248" s="1324">
        <f t="shared" si="28"/>
        <v>0</v>
      </c>
      <c r="J248" s="573">
        <f t="shared" si="28"/>
        <v>0</v>
      </c>
      <c r="K248" s="806">
        <f t="shared" si="26"/>
        <v>0</v>
      </c>
    </row>
    <row r="249" spans="1:11">
      <c r="A249" s="579" t="s">
        <v>1329</v>
      </c>
      <c r="B249" s="1321"/>
      <c r="C249" s="903"/>
      <c r="D249" s="1322"/>
      <c r="E249" s="1106"/>
      <c r="F249" s="806">
        <f t="shared" si="24"/>
        <v>0</v>
      </c>
      <c r="G249" s="1323">
        <f t="shared" ref="G249:G255" si="30">B249</f>
        <v>0</v>
      </c>
      <c r="H249" s="903"/>
      <c r="I249" s="1324">
        <f t="shared" si="28"/>
        <v>0</v>
      </c>
      <c r="J249" s="573">
        <f t="shared" si="28"/>
        <v>0</v>
      </c>
      <c r="K249" s="806">
        <f t="shared" si="26"/>
        <v>0</v>
      </c>
    </row>
    <row r="250" spans="1:11">
      <c r="A250" s="579" t="s">
        <v>1327</v>
      </c>
      <c r="B250" s="1321"/>
      <c r="C250" s="903"/>
      <c r="D250" s="1322"/>
      <c r="E250" s="1106"/>
      <c r="F250" s="806">
        <f t="shared" si="24"/>
        <v>0</v>
      </c>
      <c r="G250" s="1323">
        <f t="shared" si="30"/>
        <v>0</v>
      </c>
      <c r="H250" s="903"/>
      <c r="I250" s="1324">
        <f t="shared" si="28"/>
        <v>0</v>
      </c>
      <c r="J250" s="573">
        <f t="shared" si="28"/>
        <v>0</v>
      </c>
      <c r="K250" s="806">
        <f t="shared" si="26"/>
        <v>0</v>
      </c>
    </row>
    <row r="251" spans="1:11">
      <c r="A251" s="579" t="s">
        <v>1332</v>
      </c>
      <c r="B251" s="1321"/>
      <c r="C251" s="903"/>
      <c r="D251" s="1322"/>
      <c r="E251" s="1106"/>
      <c r="F251" s="806">
        <f t="shared" si="24"/>
        <v>0</v>
      </c>
      <c r="G251" s="1323">
        <f t="shared" si="30"/>
        <v>0</v>
      </c>
      <c r="H251" s="903"/>
      <c r="I251" s="1324">
        <f t="shared" si="28"/>
        <v>0</v>
      </c>
      <c r="J251" s="573">
        <f t="shared" si="28"/>
        <v>0</v>
      </c>
      <c r="K251" s="806">
        <f t="shared" si="26"/>
        <v>0</v>
      </c>
    </row>
    <row r="252" spans="1:11">
      <c r="A252" s="579" t="s">
        <v>1330</v>
      </c>
      <c r="B252" s="1321"/>
      <c r="C252" s="903"/>
      <c r="D252" s="1322"/>
      <c r="E252" s="1106"/>
      <c r="F252" s="806">
        <f t="shared" si="24"/>
        <v>0</v>
      </c>
      <c r="G252" s="1323">
        <f t="shared" si="30"/>
        <v>0</v>
      </c>
      <c r="H252" s="903"/>
      <c r="I252" s="1324">
        <f t="shared" si="28"/>
        <v>0</v>
      </c>
      <c r="J252" s="573">
        <f t="shared" si="28"/>
        <v>0</v>
      </c>
      <c r="K252" s="806">
        <f t="shared" si="26"/>
        <v>0</v>
      </c>
    </row>
    <row r="253" spans="1:11">
      <c r="A253" s="579" t="s">
        <v>1304</v>
      </c>
      <c r="B253" s="1321"/>
      <c r="C253" s="903"/>
      <c r="D253" s="1322"/>
      <c r="E253" s="1106"/>
      <c r="F253" s="806">
        <f t="shared" si="24"/>
        <v>0</v>
      </c>
      <c r="G253" s="1323">
        <f t="shared" si="30"/>
        <v>0</v>
      </c>
      <c r="H253" s="903"/>
      <c r="I253" s="1324">
        <f t="shared" ref="I253:J255" si="31">D253</f>
        <v>0</v>
      </c>
      <c r="J253" s="573">
        <f t="shared" si="31"/>
        <v>0</v>
      </c>
      <c r="K253" s="806">
        <f t="shared" si="26"/>
        <v>0</v>
      </c>
    </row>
    <row r="254" spans="1:11">
      <c r="A254" s="579" t="s">
        <v>1304</v>
      </c>
      <c r="B254" s="1321"/>
      <c r="C254" s="903"/>
      <c r="D254" s="1322"/>
      <c r="E254" s="1106"/>
      <c r="F254" s="806">
        <f t="shared" si="24"/>
        <v>0</v>
      </c>
      <c r="G254" s="1323">
        <f t="shared" si="30"/>
        <v>0</v>
      </c>
      <c r="H254" s="903"/>
      <c r="I254" s="1324">
        <f t="shared" si="31"/>
        <v>0</v>
      </c>
      <c r="J254" s="573">
        <f t="shared" si="31"/>
        <v>0</v>
      </c>
      <c r="K254" s="806">
        <f t="shared" si="26"/>
        <v>0</v>
      </c>
    </row>
    <row r="255" spans="1:11">
      <c r="A255" s="1240" t="s">
        <v>1304</v>
      </c>
      <c r="B255" s="1326"/>
      <c r="C255" s="1327"/>
      <c r="D255" s="1328"/>
      <c r="E255" s="1241"/>
      <c r="F255" s="1255">
        <f t="shared" si="24"/>
        <v>0</v>
      </c>
      <c r="G255" s="1329">
        <f t="shared" si="30"/>
        <v>0</v>
      </c>
      <c r="H255" s="1327"/>
      <c r="I255" s="1330">
        <f t="shared" si="31"/>
        <v>0</v>
      </c>
      <c r="J255" s="1242">
        <f t="shared" si="31"/>
        <v>0</v>
      </c>
      <c r="K255" s="1255">
        <f t="shared" si="26"/>
        <v>0</v>
      </c>
    </row>
    <row r="256" spans="1:11">
      <c r="A256" s="1244" t="s">
        <v>1372</v>
      </c>
      <c r="B256" s="633"/>
      <c r="C256" s="1008"/>
      <c r="D256" s="1325"/>
      <c r="E256" s="608"/>
      <c r="F256" s="1245"/>
      <c r="G256" s="633">
        <f>B256</f>
        <v>0</v>
      </c>
      <c r="H256" s="1008"/>
      <c r="I256" s="1325">
        <f>D256</f>
        <v>0</v>
      </c>
      <c r="J256" s="608">
        <f>E256</f>
        <v>0</v>
      </c>
      <c r="K256" s="1245"/>
    </row>
    <row r="257" spans="1:11">
      <c r="A257" s="579" t="s">
        <v>1342</v>
      </c>
      <c r="B257" s="1321"/>
      <c r="C257" s="903"/>
      <c r="D257" s="1322"/>
      <c r="E257" s="1106"/>
      <c r="F257" s="806">
        <f t="shared" si="24"/>
        <v>0</v>
      </c>
      <c r="G257" s="1323">
        <f>B257</f>
        <v>0</v>
      </c>
      <c r="H257" s="903"/>
      <c r="I257" s="1324">
        <f>D257</f>
        <v>0</v>
      </c>
      <c r="J257" s="573">
        <f>E257</f>
        <v>0</v>
      </c>
      <c r="K257" s="806">
        <f t="shared" si="26"/>
        <v>0</v>
      </c>
    </row>
    <row r="258" spans="1:11">
      <c r="A258" s="579" t="s">
        <v>1341</v>
      </c>
      <c r="B258" s="1321"/>
      <c r="C258" s="903"/>
      <c r="D258" s="1322"/>
      <c r="E258" s="1106"/>
      <c r="F258" s="806">
        <f t="shared" si="24"/>
        <v>0</v>
      </c>
      <c r="G258" s="1323">
        <f t="shared" ref="G258:G271" si="32">B258</f>
        <v>0</v>
      </c>
      <c r="H258" s="903"/>
      <c r="I258" s="1324">
        <f t="shared" ref="I258:J271" si="33">D258</f>
        <v>0</v>
      </c>
      <c r="J258" s="573">
        <f t="shared" si="33"/>
        <v>0</v>
      </c>
      <c r="K258" s="806">
        <f t="shared" si="26"/>
        <v>0</v>
      </c>
    </row>
    <row r="259" spans="1:11">
      <c r="A259" s="579" t="s">
        <v>1340</v>
      </c>
      <c r="B259" s="1321"/>
      <c r="C259" s="903"/>
      <c r="D259" s="1322"/>
      <c r="E259" s="1106"/>
      <c r="F259" s="806">
        <f t="shared" si="24"/>
        <v>0</v>
      </c>
      <c r="G259" s="1323">
        <f t="shared" si="32"/>
        <v>0</v>
      </c>
      <c r="H259" s="903"/>
      <c r="I259" s="1324">
        <f t="shared" si="33"/>
        <v>0</v>
      </c>
      <c r="J259" s="573">
        <f t="shared" si="33"/>
        <v>0</v>
      </c>
      <c r="K259" s="806">
        <f t="shared" si="26"/>
        <v>0</v>
      </c>
    </row>
    <row r="260" spans="1:11">
      <c r="A260" s="579" t="s">
        <v>1338</v>
      </c>
      <c r="B260" s="1321"/>
      <c r="C260" s="903"/>
      <c r="D260" s="1322"/>
      <c r="E260" s="1106"/>
      <c r="F260" s="806">
        <f t="shared" si="24"/>
        <v>0</v>
      </c>
      <c r="G260" s="1323">
        <f t="shared" si="32"/>
        <v>0</v>
      </c>
      <c r="H260" s="903"/>
      <c r="I260" s="1324">
        <f t="shared" si="33"/>
        <v>0</v>
      </c>
      <c r="J260" s="573">
        <f t="shared" si="33"/>
        <v>0</v>
      </c>
      <c r="K260" s="806">
        <f t="shared" si="26"/>
        <v>0</v>
      </c>
    </row>
    <row r="261" spans="1:11">
      <c r="A261" s="579" t="s">
        <v>1344</v>
      </c>
      <c r="B261" s="1321"/>
      <c r="C261" s="903"/>
      <c r="D261" s="1322"/>
      <c r="E261" s="1106"/>
      <c r="F261" s="806">
        <f t="shared" si="24"/>
        <v>0</v>
      </c>
      <c r="G261" s="1323">
        <f t="shared" si="32"/>
        <v>0</v>
      </c>
      <c r="H261" s="903"/>
      <c r="I261" s="1324">
        <f t="shared" si="33"/>
        <v>0</v>
      </c>
      <c r="J261" s="573">
        <f t="shared" si="33"/>
        <v>0</v>
      </c>
      <c r="K261" s="806">
        <f t="shared" si="26"/>
        <v>0</v>
      </c>
    </row>
    <row r="262" spans="1:11">
      <c r="A262" s="579" t="s">
        <v>1343</v>
      </c>
      <c r="B262" s="1321"/>
      <c r="C262" s="903"/>
      <c r="D262" s="1322"/>
      <c r="E262" s="1106"/>
      <c r="F262" s="806">
        <f t="shared" ref="F262:F271" si="34">B262*D262*E262</f>
        <v>0</v>
      </c>
      <c r="G262" s="1323">
        <f t="shared" si="32"/>
        <v>0</v>
      </c>
      <c r="H262" s="903"/>
      <c r="I262" s="1324">
        <f t="shared" si="33"/>
        <v>0</v>
      </c>
      <c r="J262" s="573">
        <f t="shared" si="33"/>
        <v>0</v>
      </c>
      <c r="K262" s="806">
        <f t="shared" ref="K262:K271" si="35">G262*I262*J262</f>
        <v>0</v>
      </c>
    </row>
    <row r="263" spans="1:11">
      <c r="A263" s="579" t="s">
        <v>1336</v>
      </c>
      <c r="B263" s="1321"/>
      <c r="C263" s="903"/>
      <c r="D263" s="1322"/>
      <c r="E263" s="1106"/>
      <c r="F263" s="806">
        <f t="shared" si="34"/>
        <v>0</v>
      </c>
      <c r="G263" s="1323">
        <f t="shared" si="32"/>
        <v>0</v>
      </c>
      <c r="H263" s="903"/>
      <c r="I263" s="1324">
        <f t="shared" si="33"/>
        <v>0</v>
      </c>
      <c r="J263" s="573">
        <f t="shared" si="33"/>
        <v>0</v>
      </c>
      <c r="K263" s="806">
        <f t="shared" si="35"/>
        <v>0</v>
      </c>
    </row>
    <row r="264" spans="1:11">
      <c r="A264" s="579" t="s">
        <v>1334</v>
      </c>
      <c r="B264" s="1321"/>
      <c r="C264" s="903"/>
      <c r="D264" s="1322"/>
      <c r="E264" s="1106"/>
      <c r="F264" s="806">
        <f t="shared" si="34"/>
        <v>0</v>
      </c>
      <c r="G264" s="1323">
        <f t="shared" si="32"/>
        <v>0</v>
      </c>
      <c r="H264" s="903"/>
      <c r="I264" s="1324">
        <f t="shared" si="33"/>
        <v>0</v>
      </c>
      <c r="J264" s="573">
        <f t="shared" si="33"/>
        <v>0</v>
      </c>
      <c r="K264" s="806">
        <f t="shared" si="35"/>
        <v>0</v>
      </c>
    </row>
    <row r="265" spans="1:11">
      <c r="A265" s="579" t="s">
        <v>1337</v>
      </c>
      <c r="B265" s="1321"/>
      <c r="C265" s="903"/>
      <c r="D265" s="1322"/>
      <c r="E265" s="1106"/>
      <c r="F265" s="806">
        <f t="shared" si="34"/>
        <v>0</v>
      </c>
      <c r="G265" s="1323">
        <f t="shared" si="32"/>
        <v>0</v>
      </c>
      <c r="H265" s="903"/>
      <c r="I265" s="1324">
        <f t="shared" si="33"/>
        <v>0</v>
      </c>
      <c r="J265" s="573">
        <f t="shared" si="33"/>
        <v>0</v>
      </c>
      <c r="K265" s="806">
        <f t="shared" si="35"/>
        <v>0</v>
      </c>
    </row>
    <row r="266" spans="1:11">
      <c r="A266" s="579" t="s">
        <v>1335</v>
      </c>
      <c r="B266" s="1321"/>
      <c r="C266" s="903"/>
      <c r="D266" s="1322"/>
      <c r="E266" s="1106"/>
      <c r="F266" s="806">
        <f t="shared" si="34"/>
        <v>0</v>
      </c>
      <c r="G266" s="1323">
        <f t="shared" si="32"/>
        <v>0</v>
      </c>
      <c r="H266" s="903"/>
      <c r="I266" s="1324">
        <f t="shared" si="33"/>
        <v>0</v>
      </c>
      <c r="J266" s="573">
        <f t="shared" si="33"/>
        <v>0</v>
      </c>
      <c r="K266" s="806">
        <f t="shared" si="35"/>
        <v>0</v>
      </c>
    </row>
    <row r="267" spans="1:11">
      <c r="A267" s="579" t="s">
        <v>1339</v>
      </c>
      <c r="B267" s="1321"/>
      <c r="C267" s="903"/>
      <c r="D267" s="1322"/>
      <c r="E267" s="1106"/>
      <c r="F267" s="806">
        <f t="shared" si="34"/>
        <v>0</v>
      </c>
      <c r="G267" s="1323">
        <f t="shared" si="32"/>
        <v>0</v>
      </c>
      <c r="H267" s="903"/>
      <c r="I267" s="1324">
        <f t="shared" si="33"/>
        <v>0</v>
      </c>
      <c r="J267" s="573">
        <f t="shared" si="33"/>
        <v>0</v>
      </c>
      <c r="K267" s="806">
        <f t="shared" si="35"/>
        <v>0</v>
      </c>
    </row>
    <row r="268" spans="1:11">
      <c r="A268" s="579" t="s">
        <v>1333</v>
      </c>
      <c r="B268" s="1321"/>
      <c r="C268" s="903"/>
      <c r="D268" s="1322"/>
      <c r="E268" s="1106"/>
      <c r="F268" s="806">
        <f t="shared" si="34"/>
        <v>0</v>
      </c>
      <c r="G268" s="1323">
        <f t="shared" si="32"/>
        <v>0</v>
      </c>
      <c r="H268" s="903"/>
      <c r="I268" s="1324">
        <f t="shared" si="33"/>
        <v>0</v>
      </c>
      <c r="J268" s="573">
        <f t="shared" si="33"/>
        <v>0</v>
      </c>
      <c r="K268" s="806">
        <f t="shared" si="35"/>
        <v>0</v>
      </c>
    </row>
    <row r="269" spans="1:11">
      <c r="A269" s="579" t="s">
        <v>1304</v>
      </c>
      <c r="B269" s="1321"/>
      <c r="C269" s="903"/>
      <c r="D269" s="1322"/>
      <c r="E269" s="1106"/>
      <c r="F269" s="806">
        <f t="shared" si="34"/>
        <v>0</v>
      </c>
      <c r="G269" s="1323">
        <f t="shared" si="32"/>
        <v>0</v>
      </c>
      <c r="H269" s="903"/>
      <c r="I269" s="1324">
        <f t="shared" si="33"/>
        <v>0</v>
      </c>
      <c r="J269" s="573">
        <f t="shared" si="33"/>
        <v>0</v>
      </c>
      <c r="K269" s="806">
        <f t="shared" si="35"/>
        <v>0</v>
      </c>
    </row>
    <row r="270" spans="1:11">
      <c r="A270" s="579" t="s">
        <v>1304</v>
      </c>
      <c r="B270" s="1321"/>
      <c r="C270" s="903"/>
      <c r="D270" s="1322"/>
      <c r="E270" s="1106"/>
      <c r="F270" s="806">
        <f t="shared" si="34"/>
        <v>0</v>
      </c>
      <c r="G270" s="1323">
        <f t="shared" si="32"/>
        <v>0</v>
      </c>
      <c r="H270" s="903"/>
      <c r="I270" s="1324">
        <f t="shared" si="33"/>
        <v>0</v>
      </c>
      <c r="J270" s="573">
        <f t="shared" si="33"/>
        <v>0</v>
      </c>
      <c r="K270" s="806">
        <f t="shared" si="35"/>
        <v>0</v>
      </c>
    </row>
    <row r="271" spans="1:11">
      <c r="A271" s="1240" t="s">
        <v>1304</v>
      </c>
      <c r="B271" s="1326"/>
      <c r="C271" s="1327"/>
      <c r="D271" s="1328"/>
      <c r="E271" s="1241"/>
      <c r="F271" s="1255">
        <f t="shared" si="34"/>
        <v>0</v>
      </c>
      <c r="G271" s="1329">
        <f t="shared" si="32"/>
        <v>0</v>
      </c>
      <c r="H271" s="1327"/>
      <c r="I271" s="1330">
        <f t="shared" si="33"/>
        <v>0</v>
      </c>
      <c r="J271" s="1242">
        <f t="shared" si="33"/>
        <v>0</v>
      </c>
      <c r="K271" s="1255">
        <f t="shared" si="35"/>
        <v>0</v>
      </c>
    </row>
    <row r="272" spans="1:11">
      <c r="A272" s="768"/>
      <c r="B272" s="767"/>
      <c r="C272" s="767"/>
      <c r="D272" s="1363"/>
      <c r="E272" s="767"/>
      <c r="F272" s="843" t="s">
        <v>1249</v>
      </c>
      <c r="G272" s="1401" t="e">
        <f>XONNOM &amp; " " &amp; XONPRE &amp; ", " &amp; TEXT(XONCP,"@@@@") &amp; " " &amp; XONLOC</f>
        <v>#VALUE!</v>
      </c>
      <c r="H272" s="1401"/>
      <c r="I272" s="1401"/>
      <c r="J272" s="1401"/>
      <c r="K272" s="1401"/>
    </row>
    <row r="273" spans="1:11" ht="12" thickBot="1">
      <c r="A273" s="768"/>
      <c r="B273" s="767"/>
      <c r="C273" s="767"/>
      <c r="D273" s="1363"/>
      <c r="E273" s="767"/>
      <c r="F273" s="843" t="s">
        <v>68</v>
      </c>
      <c r="G273" s="1402">
        <f>J6</f>
        <v>0</v>
      </c>
      <c r="H273" s="1402"/>
      <c r="I273" s="903"/>
      <c r="J273" s="903"/>
      <c r="K273" s="767"/>
    </row>
    <row r="274" spans="1:11" ht="12" thickBot="1">
      <c r="A274" s="948"/>
      <c r="B274" s="905" t="s">
        <v>82</v>
      </c>
      <c r="C274" s="906"/>
      <c r="D274" s="1364"/>
      <c r="E274" s="906"/>
      <c r="F274" s="907"/>
      <c r="G274" s="905" t="s">
        <v>83</v>
      </c>
      <c r="H274" s="906"/>
      <c r="I274" s="1364"/>
      <c r="J274" s="906"/>
      <c r="K274" s="907"/>
    </row>
    <row r="275" spans="1:11">
      <c r="A275" s="949" t="s">
        <v>176</v>
      </c>
      <c r="B275" s="950" t="s">
        <v>177</v>
      </c>
      <c r="C275" s="951"/>
      <c r="D275" s="1365" t="s">
        <v>178</v>
      </c>
      <c r="E275" s="953" t="s">
        <v>179</v>
      </c>
      <c r="F275" s="954" t="s">
        <v>134</v>
      </c>
      <c r="G275" s="950" t="s">
        <v>177</v>
      </c>
      <c r="H275" s="951"/>
      <c r="I275" s="1365" t="s">
        <v>178</v>
      </c>
      <c r="J275" s="953" t="s">
        <v>179</v>
      </c>
      <c r="K275" s="954" t="s">
        <v>134</v>
      </c>
    </row>
    <row r="276" spans="1:11" ht="12" thickBot="1">
      <c r="A276" s="917"/>
      <c r="B276" s="956" t="s">
        <v>1168</v>
      </c>
      <c r="C276" s="957"/>
      <c r="D276" s="1366" t="s">
        <v>37</v>
      </c>
      <c r="E276" s="958" t="s">
        <v>1171</v>
      </c>
      <c r="F276" s="959"/>
      <c r="G276" s="956" t="s">
        <v>1168</v>
      </c>
      <c r="H276" s="957"/>
      <c r="I276" s="1366" t="s">
        <v>37</v>
      </c>
      <c r="J276" s="958" t="s">
        <v>1171</v>
      </c>
      <c r="K276" s="959"/>
    </row>
    <row r="277" spans="1:11">
      <c r="A277" s="1246" t="s">
        <v>1373</v>
      </c>
      <c r="B277" s="1247"/>
      <c r="C277" s="1331"/>
      <c r="D277" s="1332"/>
      <c r="E277" s="1248"/>
      <c r="F277" s="1249"/>
      <c r="G277" s="1247">
        <f>B277</f>
        <v>0</v>
      </c>
      <c r="H277" s="1331"/>
      <c r="I277" s="1332">
        <f>D277</f>
        <v>0</v>
      </c>
      <c r="J277" s="1248">
        <f>E277</f>
        <v>0</v>
      </c>
      <c r="K277" s="1249"/>
    </row>
    <row r="278" spans="1:11">
      <c r="A278" s="1250" t="s">
        <v>1</v>
      </c>
      <c r="B278" s="633"/>
      <c r="C278" s="1008"/>
      <c r="D278" s="1325"/>
      <c r="E278" s="608"/>
      <c r="F278" s="1245"/>
      <c r="G278" s="633"/>
      <c r="H278" s="1008"/>
      <c r="I278" s="1325"/>
      <c r="J278" s="608"/>
      <c r="K278" s="1245"/>
    </row>
    <row r="279" spans="1:11">
      <c r="A279" s="579" t="s">
        <v>38</v>
      </c>
      <c r="B279" s="1321"/>
      <c r="C279" s="903"/>
      <c r="D279" s="1322"/>
      <c r="E279" s="1106"/>
      <c r="F279" s="806">
        <f t="shared" ref="F279:F295" si="36">B279*D279*E279</f>
        <v>0</v>
      </c>
      <c r="G279" s="1323">
        <f t="shared" ref="G279:G295" si="37">B279</f>
        <v>0</v>
      </c>
      <c r="H279" s="903"/>
      <c r="I279" s="1324">
        <f t="shared" ref="I279:J282" si="38">D279</f>
        <v>0</v>
      </c>
      <c r="J279" s="573">
        <f t="shared" si="38"/>
        <v>0</v>
      </c>
      <c r="K279" s="806">
        <f t="shared" ref="K279:K295" si="39">G279*I279*J279</f>
        <v>0</v>
      </c>
    </row>
    <row r="280" spans="1:11">
      <c r="A280" s="646" t="s">
        <v>9</v>
      </c>
      <c r="B280" s="1321"/>
      <c r="C280" s="903"/>
      <c r="D280" s="1322"/>
      <c r="E280" s="1106"/>
      <c r="F280" s="806">
        <f t="shared" si="36"/>
        <v>0</v>
      </c>
      <c r="G280" s="1323">
        <f t="shared" si="37"/>
        <v>0</v>
      </c>
      <c r="H280" s="903"/>
      <c r="I280" s="1324">
        <f t="shared" si="38"/>
        <v>0</v>
      </c>
      <c r="J280" s="573">
        <f t="shared" si="38"/>
        <v>0</v>
      </c>
      <c r="K280" s="806">
        <f t="shared" si="39"/>
        <v>0</v>
      </c>
    </row>
    <row r="281" spans="1:11">
      <c r="A281" s="579" t="s">
        <v>1304</v>
      </c>
      <c r="B281" s="1321"/>
      <c r="C281" s="903"/>
      <c r="D281" s="1322"/>
      <c r="E281" s="1106"/>
      <c r="F281" s="806">
        <f t="shared" si="36"/>
        <v>0</v>
      </c>
      <c r="G281" s="1323">
        <f t="shared" si="37"/>
        <v>0</v>
      </c>
      <c r="H281" s="903"/>
      <c r="I281" s="1324">
        <f t="shared" si="38"/>
        <v>0</v>
      </c>
      <c r="J281" s="573">
        <f t="shared" si="38"/>
        <v>0</v>
      </c>
      <c r="K281" s="806">
        <f t="shared" si="39"/>
        <v>0</v>
      </c>
    </row>
    <row r="282" spans="1:11">
      <c r="A282" s="579" t="s">
        <v>1304</v>
      </c>
      <c r="B282" s="1321"/>
      <c r="C282" s="903"/>
      <c r="D282" s="1322"/>
      <c r="E282" s="1106"/>
      <c r="F282" s="806">
        <f t="shared" si="36"/>
        <v>0</v>
      </c>
      <c r="G282" s="1323">
        <f t="shared" si="37"/>
        <v>0</v>
      </c>
      <c r="H282" s="903"/>
      <c r="I282" s="1324">
        <f t="shared" si="38"/>
        <v>0</v>
      </c>
      <c r="J282" s="573">
        <f t="shared" si="38"/>
        <v>0</v>
      </c>
      <c r="K282" s="806">
        <f t="shared" si="39"/>
        <v>0</v>
      </c>
    </row>
    <row r="283" spans="1:11">
      <c r="A283" s="1250" t="s">
        <v>2</v>
      </c>
      <c r="B283" s="633"/>
      <c r="C283" s="1008"/>
      <c r="D283" s="1325"/>
      <c r="E283" s="608"/>
      <c r="F283" s="1245"/>
      <c r="G283" s="633"/>
      <c r="H283" s="1008"/>
      <c r="I283" s="1325"/>
      <c r="J283" s="608"/>
      <c r="K283" s="1245"/>
    </row>
    <row r="284" spans="1:11">
      <c r="A284" s="579" t="s">
        <v>39</v>
      </c>
      <c r="B284" s="1321"/>
      <c r="C284" s="903"/>
      <c r="D284" s="1322"/>
      <c r="E284" s="1106"/>
      <c r="F284" s="806">
        <f t="shared" si="36"/>
        <v>0</v>
      </c>
      <c r="G284" s="1323">
        <f t="shared" si="37"/>
        <v>0</v>
      </c>
      <c r="H284" s="903"/>
      <c r="I284" s="1324">
        <f t="shared" ref="I284:J295" si="40">D284</f>
        <v>0</v>
      </c>
      <c r="J284" s="573">
        <f t="shared" si="40"/>
        <v>0</v>
      </c>
      <c r="K284" s="806">
        <f t="shared" si="39"/>
        <v>0</v>
      </c>
    </row>
    <row r="285" spans="1:11">
      <c r="A285" s="579" t="s">
        <v>11</v>
      </c>
      <c r="B285" s="1321"/>
      <c r="C285" s="903"/>
      <c r="D285" s="1322"/>
      <c r="E285" s="1106"/>
      <c r="F285" s="806">
        <f t="shared" si="36"/>
        <v>0</v>
      </c>
      <c r="G285" s="1323">
        <f t="shared" si="37"/>
        <v>0</v>
      </c>
      <c r="H285" s="903"/>
      <c r="I285" s="1324">
        <f t="shared" si="40"/>
        <v>0</v>
      </c>
      <c r="J285" s="573">
        <f t="shared" si="40"/>
        <v>0</v>
      </c>
      <c r="K285" s="806">
        <f t="shared" si="39"/>
        <v>0</v>
      </c>
    </row>
    <row r="286" spans="1:11">
      <c r="A286" s="579" t="s">
        <v>40</v>
      </c>
      <c r="B286" s="1321"/>
      <c r="C286" s="903"/>
      <c r="D286" s="1322"/>
      <c r="E286" s="1106"/>
      <c r="F286" s="806">
        <f t="shared" si="36"/>
        <v>0</v>
      </c>
      <c r="G286" s="1323">
        <f t="shared" si="37"/>
        <v>0</v>
      </c>
      <c r="H286" s="903"/>
      <c r="I286" s="1324">
        <f t="shared" si="40"/>
        <v>0</v>
      </c>
      <c r="J286" s="573">
        <f t="shared" si="40"/>
        <v>0</v>
      </c>
      <c r="K286" s="806">
        <f t="shared" si="39"/>
        <v>0</v>
      </c>
    </row>
    <row r="287" spans="1:11">
      <c r="A287" s="579" t="s">
        <v>41</v>
      </c>
      <c r="B287" s="1321"/>
      <c r="C287" s="903"/>
      <c r="D287" s="1322"/>
      <c r="E287" s="1106"/>
      <c r="F287" s="806">
        <f t="shared" si="36"/>
        <v>0</v>
      </c>
      <c r="G287" s="1323">
        <f t="shared" si="37"/>
        <v>0</v>
      </c>
      <c r="H287" s="903"/>
      <c r="I287" s="1324">
        <f t="shared" si="40"/>
        <v>0</v>
      </c>
      <c r="J287" s="573">
        <f t="shared" si="40"/>
        <v>0</v>
      </c>
      <c r="K287" s="806">
        <f t="shared" si="39"/>
        <v>0</v>
      </c>
    </row>
    <row r="288" spans="1:11">
      <c r="A288" s="579" t="s">
        <v>42</v>
      </c>
      <c r="B288" s="1321"/>
      <c r="C288" s="903"/>
      <c r="D288" s="1322"/>
      <c r="E288" s="1106"/>
      <c r="F288" s="806">
        <f t="shared" si="36"/>
        <v>0</v>
      </c>
      <c r="G288" s="1323">
        <f t="shared" si="37"/>
        <v>0</v>
      </c>
      <c r="H288" s="903"/>
      <c r="I288" s="1324">
        <f t="shared" si="40"/>
        <v>0</v>
      </c>
      <c r="J288" s="573">
        <f t="shared" si="40"/>
        <v>0</v>
      </c>
      <c r="K288" s="806">
        <f t="shared" si="39"/>
        <v>0</v>
      </c>
    </row>
    <row r="289" spans="1:11">
      <c r="A289" s="579" t="s">
        <v>10</v>
      </c>
      <c r="B289" s="1321"/>
      <c r="C289" s="903"/>
      <c r="D289" s="1322"/>
      <c r="E289" s="1106"/>
      <c r="F289" s="806">
        <f t="shared" si="36"/>
        <v>0</v>
      </c>
      <c r="G289" s="1323">
        <f t="shared" si="37"/>
        <v>0</v>
      </c>
      <c r="H289" s="903"/>
      <c r="I289" s="1324">
        <f t="shared" si="40"/>
        <v>0</v>
      </c>
      <c r="J289" s="573">
        <f t="shared" si="40"/>
        <v>0</v>
      </c>
      <c r="K289" s="806">
        <f t="shared" si="39"/>
        <v>0</v>
      </c>
    </row>
    <row r="290" spans="1:11">
      <c r="A290" s="579" t="s">
        <v>43</v>
      </c>
      <c r="B290" s="1321"/>
      <c r="C290" s="903"/>
      <c r="D290" s="1322"/>
      <c r="E290" s="1106"/>
      <c r="F290" s="806">
        <f t="shared" si="36"/>
        <v>0</v>
      </c>
      <c r="G290" s="1323">
        <f t="shared" si="37"/>
        <v>0</v>
      </c>
      <c r="H290" s="903"/>
      <c r="I290" s="1324">
        <f t="shared" si="40"/>
        <v>0</v>
      </c>
      <c r="J290" s="573">
        <f t="shared" si="40"/>
        <v>0</v>
      </c>
      <c r="K290" s="806">
        <f t="shared" si="39"/>
        <v>0</v>
      </c>
    </row>
    <row r="291" spans="1:11">
      <c r="A291" s="579" t="s">
        <v>44</v>
      </c>
      <c r="B291" s="1321"/>
      <c r="C291" s="903"/>
      <c r="D291" s="1322"/>
      <c r="E291" s="1106"/>
      <c r="F291" s="806">
        <f t="shared" si="36"/>
        <v>0</v>
      </c>
      <c r="G291" s="1323">
        <f t="shared" si="37"/>
        <v>0</v>
      </c>
      <c r="H291" s="903"/>
      <c r="I291" s="1324">
        <f t="shared" si="40"/>
        <v>0</v>
      </c>
      <c r="J291" s="573">
        <f t="shared" si="40"/>
        <v>0</v>
      </c>
      <c r="K291" s="806">
        <f t="shared" si="39"/>
        <v>0</v>
      </c>
    </row>
    <row r="292" spans="1:11">
      <c r="A292" s="579" t="s">
        <v>45</v>
      </c>
      <c r="B292" s="1321"/>
      <c r="C292" s="903"/>
      <c r="D292" s="1322"/>
      <c r="E292" s="1106"/>
      <c r="F292" s="806">
        <f t="shared" si="36"/>
        <v>0</v>
      </c>
      <c r="G292" s="1323">
        <f t="shared" si="37"/>
        <v>0</v>
      </c>
      <c r="H292" s="903"/>
      <c r="I292" s="1324">
        <f t="shared" si="40"/>
        <v>0</v>
      </c>
      <c r="J292" s="573">
        <f t="shared" si="40"/>
        <v>0</v>
      </c>
      <c r="K292" s="806">
        <f t="shared" si="39"/>
        <v>0</v>
      </c>
    </row>
    <row r="293" spans="1:11">
      <c r="A293" s="579" t="s">
        <v>46</v>
      </c>
      <c r="B293" s="1321"/>
      <c r="C293" s="903"/>
      <c r="D293" s="1322"/>
      <c r="E293" s="1106"/>
      <c r="F293" s="806">
        <f t="shared" si="36"/>
        <v>0</v>
      </c>
      <c r="G293" s="1323">
        <f t="shared" si="37"/>
        <v>0</v>
      </c>
      <c r="H293" s="903"/>
      <c r="I293" s="1324">
        <f t="shared" si="40"/>
        <v>0</v>
      </c>
      <c r="J293" s="573">
        <f t="shared" si="40"/>
        <v>0</v>
      </c>
      <c r="K293" s="806">
        <f t="shared" si="39"/>
        <v>0</v>
      </c>
    </row>
    <row r="294" spans="1:11">
      <c r="A294" s="579" t="s">
        <v>1304</v>
      </c>
      <c r="B294" s="1321"/>
      <c r="C294" s="903"/>
      <c r="D294" s="1322"/>
      <c r="E294" s="1106"/>
      <c r="F294" s="806">
        <f t="shared" si="36"/>
        <v>0</v>
      </c>
      <c r="G294" s="1323">
        <f t="shared" si="37"/>
        <v>0</v>
      </c>
      <c r="H294" s="903"/>
      <c r="I294" s="1324">
        <f t="shared" si="40"/>
        <v>0</v>
      </c>
      <c r="J294" s="573">
        <f t="shared" si="40"/>
        <v>0</v>
      </c>
      <c r="K294" s="806">
        <f t="shared" si="39"/>
        <v>0</v>
      </c>
    </row>
    <row r="295" spans="1:11">
      <c r="A295" s="579" t="s">
        <v>1304</v>
      </c>
      <c r="B295" s="1321"/>
      <c r="C295" s="903"/>
      <c r="D295" s="1322"/>
      <c r="E295" s="1106"/>
      <c r="F295" s="806">
        <f t="shared" si="36"/>
        <v>0</v>
      </c>
      <c r="G295" s="1323">
        <f t="shared" si="37"/>
        <v>0</v>
      </c>
      <c r="H295" s="903"/>
      <c r="I295" s="1324">
        <f t="shared" si="40"/>
        <v>0</v>
      </c>
      <c r="J295" s="573">
        <f t="shared" si="40"/>
        <v>0</v>
      </c>
      <c r="K295" s="806">
        <f t="shared" si="39"/>
        <v>0</v>
      </c>
    </row>
    <row r="296" spans="1:11">
      <c r="A296" s="1250" t="s">
        <v>3</v>
      </c>
      <c r="B296" s="633"/>
      <c r="C296" s="1008"/>
      <c r="D296" s="1325"/>
      <c r="E296" s="608"/>
      <c r="F296" s="1245"/>
      <c r="G296" s="633"/>
      <c r="H296" s="1008"/>
      <c r="I296" s="1325"/>
      <c r="J296" s="608"/>
      <c r="K296" s="1245"/>
    </row>
    <row r="297" spans="1:11">
      <c r="A297" s="579" t="s">
        <v>47</v>
      </c>
      <c r="B297" s="1321"/>
      <c r="C297" s="903"/>
      <c r="D297" s="1322"/>
      <c r="E297" s="1106"/>
      <c r="F297" s="806">
        <f>B297*D297*E297</f>
        <v>0</v>
      </c>
      <c r="G297" s="1323">
        <f>B297</f>
        <v>0</v>
      </c>
      <c r="H297" s="903"/>
      <c r="I297" s="1324">
        <f t="shared" ref="I297:J301" si="41">D297</f>
        <v>0</v>
      </c>
      <c r="J297" s="573">
        <f t="shared" si="41"/>
        <v>0</v>
      </c>
      <c r="K297" s="806">
        <f>G297*I297*J297</f>
        <v>0</v>
      </c>
    </row>
    <row r="298" spans="1:11">
      <c r="A298" s="579" t="s">
        <v>49</v>
      </c>
      <c r="B298" s="1321"/>
      <c r="C298" s="903"/>
      <c r="D298" s="1322"/>
      <c r="E298" s="1106"/>
      <c r="F298" s="806">
        <f>B298*D298*E298</f>
        <v>0</v>
      </c>
      <c r="G298" s="1323">
        <f>B298</f>
        <v>0</v>
      </c>
      <c r="H298" s="903"/>
      <c r="I298" s="1324">
        <f t="shared" si="41"/>
        <v>0</v>
      </c>
      <c r="J298" s="573">
        <f t="shared" si="41"/>
        <v>0</v>
      </c>
      <c r="K298" s="806">
        <f>G298*I298*J298</f>
        <v>0</v>
      </c>
    </row>
    <row r="299" spans="1:11">
      <c r="A299" s="579" t="s">
        <v>48</v>
      </c>
      <c r="B299" s="1321"/>
      <c r="C299" s="903"/>
      <c r="D299" s="1322"/>
      <c r="E299" s="1106"/>
      <c r="F299" s="806">
        <f>B299*D299*E299</f>
        <v>0</v>
      </c>
      <c r="G299" s="1323">
        <f>B299</f>
        <v>0</v>
      </c>
      <c r="H299" s="903"/>
      <c r="I299" s="1324">
        <f t="shared" si="41"/>
        <v>0</v>
      </c>
      <c r="J299" s="573">
        <f t="shared" si="41"/>
        <v>0</v>
      </c>
      <c r="K299" s="806">
        <f>G299*I299*J299</f>
        <v>0</v>
      </c>
    </row>
    <row r="300" spans="1:11">
      <c r="A300" s="579" t="s">
        <v>1304</v>
      </c>
      <c r="B300" s="1321"/>
      <c r="C300" s="903"/>
      <c r="D300" s="1322"/>
      <c r="E300" s="1106"/>
      <c r="F300" s="806">
        <f>B300*D300*E300</f>
        <v>0</v>
      </c>
      <c r="G300" s="1323">
        <f>B300</f>
        <v>0</v>
      </c>
      <c r="H300" s="903"/>
      <c r="I300" s="1324">
        <f t="shared" si="41"/>
        <v>0</v>
      </c>
      <c r="J300" s="573">
        <f t="shared" si="41"/>
        <v>0</v>
      </c>
      <c r="K300" s="806">
        <f>G300*I300*J300</f>
        <v>0</v>
      </c>
    </row>
    <row r="301" spans="1:11">
      <c r="A301" s="579" t="s">
        <v>1304</v>
      </c>
      <c r="B301" s="1321"/>
      <c r="C301" s="903"/>
      <c r="D301" s="1322"/>
      <c r="E301" s="1106"/>
      <c r="F301" s="806">
        <f>B301*D301*E301</f>
        <v>0</v>
      </c>
      <c r="G301" s="1323">
        <f>B301</f>
        <v>0</v>
      </c>
      <c r="H301" s="903"/>
      <c r="I301" s="1324">
        <f t="shared" si="41"/>
        <v>0</v>
      </c>
      <c r="J301" s="573">
        <f t="shared" si="41"/>
        <v>0</v>
      </c>
      <c r="K301" s="806">
        <f>G301*I301*J301</f>
        <v>0</v>
      </c>
    </row>
    <row r="302" spans="1:11">
      <c r="A302" s="1250" t="s">
        <v>4</v>
      </c>
      <c r="B302" s="633"/>
      <c r="C302" s="1008"/>
      <c r="D302" s="1325"/>
      <c r="E302" s="608"/>
      <c r="F302" s="1245"/>
      <c r="G302" s="633"/>
      <c r="H302" s="1008"/>
      <c r="I302" s="1325"/>
      <c r="J302" s="608"/>
      <c r="K302" s="1245"/>
    </row>
    <row r="303" spans="1:11">
      <c r="A303" s="579" t="s">
        <v>50</v>
      </c>
      <c r="B303" s="1321"/>
      <c r="C303" s="903"/>
      <c r="D303" s="1322"/>
      <c r="E303" s="1106"/>
      <c r="F303" s="806">
        <f>B303*D303*E303</f>
        <v>0</v>
      </c>
      <c r="G303" s="1323">
        <f>B303</f>
        <v>0</v>
      </c>
      <c r="H303" s="903"/>
      <c r="I303" s="1324">
        <f t="shared" ref="I303:J307" si="42">D303</f>
        <v>0</v>
      </c>
      <c r="J303" s="573">
        <f t="shared" si="42"/>
        <v>0</v>
      </c>
      <c r="K303" s="806">
        <f>G303*I303*J303</f>
        <v>0</v>
      </c>
    </row>
    <row r="304" spans="1:11">
      <c r="A304" s="579" t="s">
        <v>51</v>
      </c>
      <c r="B304" s="1321"/>
      <c r="C304" s="903"/>
      <c r="D304" s="1322"/>
      <c r="E304" s="1106"/>
      <c r="F304" s="806">
        <f>B304*D304*E304</f>
        <v>0</v>
      </c>
      <c r="G304" s="1323">
        <f>B304</f>
        <v>0</v>
      </c>
      <c r="H304" s="903"/>
      <c r="I304" s="1324">
        <f t="shared" si="42"/>
        <v>0</v>
      </c>
      <c r="J304" s="573">
        <f t="shared" si="42"/>
        <v>0</v>
      </c>
      <c r="K304" s="806">
        <f>G304*I304*J304</f>
        <v>0</v>
      </c>
    </row>
    <row r="305" spans="1:11">
      <c r="A305" s="579" t="s">
        <v>52</v>
      </c>
      <c r="B305" s="1321"/>
      <c r="C305" s="903"/>
      <c r="D305" s="1322"/>
      <c r="E305" s="1106"/>
      <c r="F305" s="806">
        <f>B305*D305*E305</f>
        <v>0</v>
      </c>
      <c r="G305" s="1323">
        <f>B305</f>
        <v>0</v>
      </c>
      <c r="H305" s="903"/>
      <c r="I305" s="1324">
        <f t="shared" si="42"/>
        <v>0</v>
      </c>
      <c r="J305" s="573">
        <f t="shared" si="42"/>
        <v>0</v>
      </c>
      <c r="K305" s="806">
        <f>G305*I305*J305</f>
        <v>0</v>
      </c>
    </row>
    <row r="306" spans="1:11">
      <c r="A306" s="579" t="s">
        <v>1304</v>
      </c>
      <c r="B306" s="1321"/>
      <c r="C306" s="903"/>
      <c r="D306" s="1322"/>
      <c r="E306" s="1106"/>
      <c r="F306" s="806">
        <f>B306*D306*E306</f>
        <v>0</v>
      </c>
      <c r="G306" s="1323">
        <f>B306</f>
        <v>0</v>
      </c>
      <c r="H306" s="903"/>
      <c r="I306" s="1324">
        <f t="shared" si="42"/>
        <v>0</v>
      </c>
      <c r="J306" s="573">
        <f t="shared" si="42"/>
        <v>0</v>
      </c>
      <c r="K306" s="806">
        <f>G306*I306*J306</f>
        <v>0</v>
      </c>
    </row>
    <row r="307" spans="1:11">
      <c r="A307" s="579" t="s">
        <v>1304</v>
      </c>
      <c r="B307" s="1321"/>
      <c r="C307" s="903"/>
      <c r="D307" s="1322"/>
      <c r="E307" s="1106"/>
      <c r="F307" s="806">
        <f>B307*D307*E307</f>
        <v>0</v>
      </c>
      <c r="G307" s="1323">
        <f>B307</f>
        <v>0</v>
      </c>
      <c r="H307" s="903"/>
      <c r="I307" s="1324">
        <f t="shared" si="42"/>
        <v>0</v>
      </c>
      <c r="J307" s="573">
        <f t="shared" si="42"/>
        <v>0</v>
      </c>
      <c r="K307" s="806">
        <f>G307*I307*J307</f>
        <v>0</v>
      </c>
    </row>
    <row r="308" spans="1:11">
      <c r="A308" s="1250" t="s">
        <v>5</v>
      </c>
      <c r="B308" s="633"/>
      <c r="C308" s="1008"/>
      <c r="D308" s="1325"/>
      <c r="E308" s="608"/>
      <c r="F308" s="1245"/>
      <c r="G308" s="633"/>
      <c r="H308" s="1008"/>
      <c r="I308" s="1325"/>
      <c r="J308" s="608"/>
      <c r="K308" s="1245"/>
    </row>
    <row r="309" spans="1:11">
      <c r="A309" s="579" t="s">
        <v>53</v>
      </c>
      <c r="B309" s="1321"/>
      <c r="C309" s="903"/>
      <c r="D309" s="1322"/>
      <c r="E309" s="1106"/>
      <c r="F309" s="806">
        <f t="shared" ref="F309:F320" si="43">B309*D309*E309</f>
        <v>0</v>
      </c>
      <c r="G309" s="1323">
        <f>B309</f>
        <v>0</v>
      </c>
      <c r="H309" s="903"/>
      <c r="I309" s="1324">
        <f>D309</f>
        <v>0</v>
      </c>
      <c r="J309" s="573">
        <f>E309</f>
        <v>0</v>
      </c>
      <c r="K309" s="806">
        <f t="shared" ref="K309:K320" si="44">G309*I309*J309</f>
        <v>0</v>
      </c>
    </row>
    <row r="310" spans="1:11">
      <c r="A310" s="579" t="s">
        <v>1304</v>
      </c>
      <c r="B310" s="1321"/>
      <c r="C310" s="903"/>
      <c r="D310" s="1322"/>
      <c r="E310" s="1106"/>
      <c r="F310" s="806">
        <f t="shared" si="43"/>
        <v>0</v>
      </c>
      <c r="G310" s="1323">
        <f t="shared" ref="G310:G318" si="45">B310</f>
        <v>0</v>
      </c>
      <c r="H310" s="903"/>
      <c r="I310" s="1324">
        <f t="shared" ref="I310:J321" si="46">D310</f>
        <v>0</v>
      </c>
      <c r="J310" s="573">
        <f t="shared" si="46"/>
        <v>0</v>
      </c>
      <c r="K310" s="806">
        <f t="shared" si="44"/>
        <v>0</v>
      </c>
    </row>
    <row r="311" spans="1:11">
      <c r="A311" s="579" t="s">
        <v>1304</v>
      </c>
      <c r="B311" s="1321"/>
      <c r="C311" s="903"/>
      <c r="D311" s="1322"/>
      <c r="E311" s="1106"/>
      <c r="F311" s="806">
        <f t="shared" si="43"/>
        <v>0</v>
      </c>
      <c r="G311" s="1323">
        <f t="shared" si="45"/>
        <v>0</v>
      </c>
      <c r="H311" s="903"/>
      <c r="I311" s="1324">
        <f t="shared" si="46"/>
        <v>0</v>
      </c>
      <c r="J311" s="573">
        <f t="shared" si="46"/>
        <v>0</v>
      </c>
      <c r="K311" s="806">
        <f t="shared" si="44"/>
        <v>0</v>
      </c>
    </row>
    <row r="312" spans="1:11">
      <c r="A312" s="579" t="s">
        <v>1358</v>
      </c>
      <c r="B312" s="1321"/>
      <c r="C312" s="903"/>
      <c r="D312" s="1322"/>
      <c r="E312" s="1106"/>
      <c r="F312" s="806">
        <f t="shared" si="43"/>
        <v>0</v>
      </c>
      <c r="G312" s="1323">
        <f t="shared" si="45"/>
        <v>0</v>
      </c>
      <c r="H312" s="903"/>
      <c r="I312" s="1324">
        <f t="shared" si="46"/>
        <v>0</v>
      </c>
      <c r="J312" s="573">
        <f t="shared" si="46"/>
        <v>0</v>
      </c>
      <c r="K312" s="806">
        <f t="shared" si="44"/>
        <v>0</v>
      </c>
    </row>
    <row r="313" spans="1:11">
      <c r="A313" s="579" t="s">
        <v>1304</v>
      </c>
      <c r="B313" s="1321"/>
      <c r="C313" s="903"/>
      <c r="D313" s="1322"/>
      <c r="E313" s="1106"/>
      <c r="F313" s="806">
        <f t="shared" si="43"/>
        <v>0</v>
      </c>
      <c r="G313" s="1323">
        <f t="shared" si="45"/>
        <v>0</v>
      </c>
      <c r="H313" s="903"/>
      <c r="I313" s="1324">
        <f t="shared" si="46"/>
        <v>0</v>
      </c>
      <c r="J313" s="573">
        <f t="shared" si="46"/>
        <v>0</v>
      </c>
      <c r="K313" s="806">
        <f t="shared" si="44"/>
        <v>0</v>
      </c>
    </row>
    <row r="314" spans="1:11">
      <c r="A314" s="579" t="s">
        <v>1304</v>
      </c>
      <c r="B314" s="1321"/>
      <c r="C314" s="903"/>
      <c r="D314" s="1322"/>
      <c r="E314" s="1106"/>
      <c r="F314" s="806">
        <f t="shared" si="43"/>
        <v>0</v>
      </c>
      <c r="G314" s="1323">
        <f t="shared" si="45"/>
        <v>0</v>
      </c>
      <c r="H314" s="903"/>
      <c r="I314" s="1324">
        <f t="shared" si="46"/>
        <v>0</v>
      </c>
      <c r="J314" s="573">
        <f t="shared" si="46"/>
        <v>0</v>
      </c>
      <c r="K314" s="806">
        <f t="shared" si="44"/>
        <v>0</v>
      </c>
    </row>
    <row r="315" spans="1:11">
      <c r="A315" s="579" t="s">
        <v>54</v>
      </c>
      <c r="B315" s="1321"/>
      <c r="C315" s="903"/>
      <c r="D315" s="1322"/>
      <c r="E315" s="1106"/>
      <c r="F315" s="806">
        <f t="shared" si="43"/>
        <v>0</v>
      </c>
      <c r="G315" s="1323">
        <f t="shared" si="45"/>
        <v>0</v>
      </c>
      <c r="H315" s="903"/>
      <c r="I315" s="1324">
        <f t="shared" si="46"/>
        <v>0</v>
      </c>
      <c r="J315" s="573">
        <f t="shared" si="46"/>
        <v>0</v>
      </c>
      <c r="K315" s="806">
        <f t="shared" si="44"/>
        <v>0</v>
      </c>
    </row>
    <row r="316" spans="1:11">
      <c r="A316" s="579" t="s">
        <v>1304</v>
      </c>
      <c r="B316" s="1321"/>
      <c r="C316" s="903"/>
      <c r="D316" s="1322"/>
      <c r="E316" s="1106"/>
      <c r="F316" s="806">
        <f t="shared" si="43"/>
        <v>0</v>
      </c>
      <c r="G316" s="1323">
        <f t="shared" si="45"/>
        <v>0</v>
      </c>
      <c r="H316" s="903"/>
      <c r="I316" s="1324">
        <f t="shared" si="46"/>
        <v>0</v>
      </c>
      <c r="J316" s="573">
        <f t="shared" si="46"/>
        <v>0</v>
      </c>
      <c r="K316" s="806">
        <f t="shared" si="44"/>
        <v>0</v>
      </c>
    </row>
    <row r="317" spans="1:11">
      <c r="A317" s="579" t="s">
        <v>1304</v>
      </c>
      <c r="B317" s="1321"/>
      <c r="C317" s="903"/>
      <c r="D317" s="1322"/>
      <c r="E317" s="1106"/>
      <c r="F317" s="806">
        <f t="shared" si="43"/>
        <v>0</v>
      </c>
      <c r="G317" s="1323">
        <f t="shared" si="45"/>
        <v>0</v>
      </c>
      <c r="H317" s="903"/>
      <c r="I317" s="1324">
        <f t="shared" si="46"/>
        <v>0</v>
      </c>
      <c r="J317" s="573">
        <f t="shared" si="46"/>
        <v>0</v>
      </c>
      <c r="K317" s="806">
        <f t="shared" si="44"/>
        <v>0</v>
      </c>
    </row>
    <row r="318" spans="1:11">
      <c r="A318" s="579" t="s">
        <v>1345</v>
      </c>
      <c r="B318" s="1321"/>
      <c r="C318" s="903"/>
      <c r="D318" s="1322"/>
      <c r="E318" s="1106"/>
      <c r="F318" s="806">
        <f t="shared" si="43"/>
        <v>0</v>
      </c>
      <c r="G318" s="1323">
        <f t="shared" si="45"/>
        <v>0</v>
      </c>
      <c r="H318" s="903"/>
      <c r="I318" s="1324">
        <f t="shared" si="46"/>
        <v>0</v>
      </c>
      <c r="J318" s="573">
        <f t="shared" si="46"/>
        <v>0</v>
      </c>
      <c r="K318" s="806">
        <f t="shared" si="44"/>
        <v>0</v>
      </c>
    </row>
    <row r="319" spans="1:11">
      <c r="A319" s="579" t="s">
        <v>1304</v>
      </c>
      <c r="B319" s="1321"/>
      <c r="C319" s="903"/>
      <c r="D319" s="1322"/>
      <c r="E319" s="1106"/>
      <c r="F319" s="806">
        <f t="shared" si="43"/>
        <v>0</v>
      </c>
      <c r="G319" s="1323">
        <f>B319</f>
        <v>0</v>
      </c>
      <c r="H319" s="903"/>
      <c r="I319" s="1324">
        <f t="shared" si="46"/>
        <v>0</v>
      </c>
      <c r="J319" s="573">
        <f t="shared" si="46"/>
        <v>0</v>
      </c>
      <c r="K319" s="806">
        <f t="shared" si="44"/>
        <v>0</v>
      </c>
    </row>
    <row r="320" spans="1:11" ht="12" thickBot="1">
      <c r="A320" s="579" t="s">
        <v>1304</v>
      </c>
      <c r="B320" s="1321"/>
      <c r="C320" s="903"/>
      <c r="D320" s="1322"/>
      <c r="E320" s="1106"/>
      <c r="F320" s="1256">
        <f t="shared" si="43"/>
        <v>0</v>
      </c>
      <c r="G320" s="1323">
        <f>B320</f>
        <v>0</v>
      </c>
      <c r="H320" s="903"/>
      <c r="I320" s="1324">
        <f t="shared" si="46"/>
        <v>0</v>
      </c>
      <c r="J320" s="573">
        <f t="shared" si="46"/>
        <v>0</v>
      </c>
      <c r="K320" s="1256">
        <f t="shared" si="44"/>
        <v>0</v>
      </c>
    </row>
    <row r="321" spans="1:11" ht="16.5" customHeight="1" thickBot="1">
      <c r="A321" s="923" t="s">
        <v>213</v>
      </c>
      <c r="B321" s="779">
        <f>SUM(B197:B320)</f>
        <v>0</v>
      </c>
      <c r="C321" s="779"/>
      <c r="D321" s="900" t="s">
        <v>130</v>
      </c>
      <c r="E321" s="856" t="s">
        <v>148</v>
      </c>
      <c r="F321" s="801">
        <f>SUM(F197:F320)</f>
        <v>0</v>
      </c>
      <c r="G321" s="789">
        <f>SUM(G197:G271,G279:G320)</f>
        <v>0</v>
      </c>
      <c r="H321" s="779"/>
      <c r="I321" s="900" t="str">
        <f t="shared" si="46"/>
        <v>-------</v>
      </c>
      <c r="J321" s="856" t="str">
        <f t="shared" si="46"/>
        <v>--------</v>
      </c>
      <c r="K321" s="801">
        <f>SUM(K197:K320)</f>
        <v>0</v>
      </c>
    </row>
    <row r="322" spans="1:11">
      <c r="A322" s="1347"/>
      <c r="B322" s="1191"/>
      <c r="C322" s="1191"/>
      <c r="D322" s="1348"/>
      <c r="E322" s="1348"/>
      <c r="F322" s="894"/>
      <c r="G322" s="1191"/>
      <c r="H322" s="1191"/>
      <c r="I322" s="1348"/>
      <c r="J322" s="1348"/>
      <c r="K322" s="894"/>
    </row>
    <row r="323" spans="1:11">
      <c r="A323" s="768"/>
      <c r="B323" s="843" t="s">
        <v>214</v>
      </c>
      <c r="C323" s="623"/>
      <c r="D323" s="767" t="s">
        <v>217</v>
      </c>
      <c r="H323" s="1148">
        <f>C323</f>
        <v>0</v>
      </c>
      <c r="I323" s="767" t="s">
        <v>217</v>
      </c>
      <c r="J323" s="1348"/>
      <c r="K323" s="894"/>
    </row>
    <row r="324" spans="1:11">
      <c r="A324" s="768"/>
      <c r="B324" s="843" t="s">
        <v>216</v>
      </c>
      <c r="C324" s="972">
        <f>(B321-C323)</f>
        <v>0</v>
      </c>
      <c r="D324" s="767" t="s">
        <v>217</v>
      </c>
      <c r="H324" s="972">
        <f>(G321-H323)</f>
        <v>0</v>
      </c>
      <c r="I324" s="767" t="s">
        <v>217</v>
      </c>
      <c r="J324" s="767"/>
      <c r="K324" s="767"/>
    </row>
    <row r="325" spans="1:11">
      <c r="A325" s="768"/>
      <c r="B325" s="1007"/>
      <c r="C325" s="1007"/>
      <c r="D325" s="927"/>
      <c r="E325" s="1349"/>
      <c r="F325" s="1349"/>
      <c r="G325" s="1349"/>
      <c r="H325" s="1007"/>
      <c r="I325" s="927"/>
      <c r="J325" s="767"/>
      <c r="K325" s="767"/>
    </row>
    <row r="326" spans="1:11">
      <c r="A326" s="1034" t="s">
        <v>1346</v>
      </c>
      <c r="B326" s="767"/>
      <c r="C326" s="767"/>
      <c r="D326" s="767"/>
      <c r="E326" s="767"/>
      <c r="F326" s="767"/>
      <c r="G326" s="767"/>
      <c r="H326" s="768"/>
      <c r="I326" s="767"/>
      <c r="J326" s="767"/>
      <c r="K326" s="767"/>
    </row>
    <row r="327" spans="1:11" ht="7.5" customHeight="1" thickBot="1">
      <c r="A327" s="768"/>
      <c r="B327" s="767"/>
      <c r="C327" s="767"/>
      <c r="D327" s="767"/>
      <c r="E327" s="767"/>
      <c r="F327" s="767"/>
      <c r="G327" s="767"/>
      <c r="H327" s="768"/>
      <c r="I327" s="767"/>
      <c r="J327" s="767"/>
      <c r="K327" s="767"/>
    </row>
    <row r="328" spans="1:11" ht="12" thickBot="1">
      <c r="A328" s="948"/>
      <c r="B328" s="905" t="s">
        <v>82</v>
      </c>
      <c r="C328" s="906"/>
      <c r="D328" s="906"/>
      <c r="E328" s="906"/>
      <c r="F328" s="907"/>
      <c r="G328" s="905" t="s">
        <v>83</v>
      </c>
      <c r="H328" s="908"/>
      <c r="I328" s="906"/>
      <c r="J328" s="906"/>
      <c r="K328" s="907"/>
    </row>
    <row r="329" spans="1:11" ht="12" thickBot="1">
      <c r="A329" s="973" t="s">
        <v>218</v>
      </c>
      <c r="B329" s="905" t="s">
        <v>219</v>
      </c>
      <c r="C329" s="906"/>
      <c r="D329" s="974" t="s">
        <v>220</v>
      </c>
      <c r="E329" s="906"/>
      <c r="F329" s="907"/>
      <c r="G329" s="905" t="s">
        <v>219</v>
      </c>
      <c r="H329" s="908"/>
      <c r="I329" s="974" t="s">
        <v>220</v>
      </c>
      <c r="J329" s="906"/>
      <c r="K329" s="907"/>
    </row>
    <row r="330" spans="1:11">
      <c r="A330" s="1237" t="s">
        <v>1347</v>
      </c>
      <c r="B330" s="1333"/>
      <c r="C330" s="963"/>
      <c r="D330" s="1118"/>
      <c r="E330" s="559"/>
      <c r="F330" s="560"/>
      <c r="G330" s="1203">
        <f>B330</f>
        <v>0</v>
      </c>
      <c r="H330" s="963"/>
      <c r="I330" s="1150"/>
      <c r="J330" s="559"/>
      <c r="K330" s="560"/>
    </row>
    <row r="331" spans="1:11">
      <c r="A331" s="1238" t="s">
        <v>1348</v>
      </c>
      <c r="B331" s="721"/>
      <c r="C331" s="968"/>
      <c r="D331" s="1119"/>
      <c r="E331" s="27"/>
      <c r="F331" s="563"/>
      <c r="G331" s="1162">
        <f>B331</f>
        <v>0</v>
      </c>
      <c r="H331" s="968"/>
      <c r="I331" s="1151"/>
      <c r="J331" s="27"/>
      <c r="K331" s="563"/>
    </row>
    <row r="332" spans="1:11">
      <c r="A332" s="579" t="s">
        <v>1349</v>
      </c>
      <c r="B332" s="721"/>
      <c r="C332" s="968"/>
      <c r="D332" s="1119"/>
      <c r="E332" s="27"/>
      <c r="F332" s="563"/>
      <c r="G332" s="1162">
        <f t="shared" ref="G332:G346" si="47">B332</f>
        <v>0</v>
      </c>
      <c r="H332" s="968"/>
      <c r="I332" s="1151"/>
      <c r="J332" s="27"/>
      <c r="K332" s="563"/>
    </row>
    <row r="333" spans="1:11">
      <c r="A333" s="1238" t="s">
        <v>1350</v>
      </c>
      <c r="B333" s="721"/>
      <c r="C333" s="968"/>
      <c r="D333" s="1119"/>
      <c r="E333" s="27"/>
      <c r="F333" s="563"/>
      <c r="G333" s="1162">
        <f t="shared" si="47"/>
        <v>0</v>
      </c>
      <c r="H333" s="968"/>
      <c r="I333" s="1151"/>
      <c r="J333" s="27"/>
      <c r="K333" s="563"/>
    </row>
    <row r="334" spans="1:11">
      <c r="A334" s="1238" t="s">
        <v>1351</v>
      </c>
      <c r="B334" s="721"/>
      <c r="C334" s="968"/>
      <c r="D334" s="1119"/>
      <c r="E334" s="27"/>
      <c r="F334" s="563"/>
      <c r="G334" s="1162">
        <f t="shared" si="47"/>
        <v>0</v>
      </c>
      <c r="H334" s="968"/>
      <c r="I334" s="1151"/>
      <c r="J334" s="27"/>
      <c r="K334" s="563"/>
    </row>
    <row r="335" spans="1:11">
      <c r="A335" s="579" t="s">
        <v>13</v>
      </c>
      <c r="B335" s="721"/>
      <c r="C335" s="968"/>
      <c r="D335" s="1119"/>
      <c r="E335" s="27"/>
      <c r="F335" s="563"/>
      <c r="G335" s="1162">
        <f t="shared" si="47"/>
        <v>0</v>
      </c>
      <c r="H335" s="968"/>
      <c r="I335" s="1151"/>
      <c r="J335" s="27"/>
      <c r="K335" s="563"/>
    </row>
    <row r="336" spans="1:11">
      <c r="A336" s="579" t="s">
        <v>1352</v>
      </c>
      <c r="B336" s="721"/>
      <c r="C336" s="968"/>
      <c r="D336" s="1119"/>
      <c r="E336" s="27"/>
      <c r="F336" s="563"/>
      <c r="G336" s="1162">
        <f t="shared" si="47"/>
        <v>0</v>
      </c>
      <c r="H336" s="968"/>
      <c r="I336" s="1151"/>
      <c r="J336" s="27"/>
      <c r="K336" s="563"/>
    </row>
    <row r="337" spans="1:11">
      <c r="A337" s="579" t="s">
        <v>1353</v>
      </c>
      <c r="B337" s="721"/>
      <c r="C337" s="968"/>
      <c r="D337" s="1119"/>
      <c r="E337" s="27"/>
      <c r="F337" s="563"/>
      <c r="G337" s="1162">
        <f t="shared" si="47"/>
        <v>0</v>
      </c>
      <c r="H337" s="968"/>
      <c r="I337" s="1151"/>
      <c r="J337" s="27"/>
      <c r="K337" s="563"/>
    </row>
    <row r="338" spans="1:11">
      <c r="A338" s="646" t="s">
        <v>12</v>
      </c>
      <c r="B338" s="721"/>
      <c r="C338" s="968"/>
      <c r="D338" s="1119"/>
      <c r="E338" s="27"/>
      <c r="F338" s="563"/>
      <c r="G338" s="1162">
        <f t="shared" si="47"/>
        <v>0</v>
      </c>
      <c r="H338" s="968"/>
      <c r="I338" s="1151"/>
      <c r="J338" s="27"/>
      <c r="K338" s="563"/>
    </row>
    <row r="339" spans="1:11">
      <c r="A339" s="579" t="s">
        <v>1354</v>
      </c>
      <c r="B339" s="721"/>
      <c r="C339" s="968"/>
      <c r="D339" s="1119"/>
      <c r="E339" s="27"/>
      <c r="F339" s="563"/>
      <c r="G339" s="1162">
        <f t="shared" si="47"/>
        <v>0</v>
      </c>
      <c r="H339" s="968"/>
      <c r="I339" s="1151"/>
      <c r="J339" s="27"/>
      <c r="K339" s="563"/>
    </row>
    <row r="340" spans="1:11">
      <c r="A340" s="579" t="s">
        <v>14</v>
      </c>
      <c r="B340" s="721"/>
      <c r="C340" s="968"/>
      <c r="D340" s="1119"/>
      <c r="E340" s="27"/>
      <c r="F340" s="563"/>
      <c r="G340" s="1162">
        <f t="shared" si="47"/>
        <v>0</v>
      </c>
      <c r="H340" s="968"/>
      <c r="I340" s="1151"/>
      <c r="J340" s="27"/>
      <c r="K340" s="563"/>
    </row>
    <row r="341" spans="1:11">
      <c r="A341" s="579" t="s">
        <v>1355</v>
      </c>
      <c r="B341" s="721"/>
      <c r="C341" s="968"/>
      <c r="D341" s="1119"/>
      <c r="E341" s="27"/>
      <c r="F341" s="563"/>
      <c r="G341" s="1162">
        <f t="shared" si="47"/>
        <v>0</v>
      </c>
      <c r="H341" s="968"/>
      <c r="I341" s="1151"/>
      <c r="J341" s="27"/>
      <c r="K341" s="563"/>
    </row>
    <row r="342" spans="1:11">
      <c r="A342" s="579" t="s">
        <v>1356</v>
      </c>
      <c r="B342" s="721"/>
      <c r="C342" s="968"/>
      <c r="D342" s="1119"/>
      <c r="E342" s="27"/>
      <c r="F342" s="563"/>
      <c r="G342" s="1162">
        <f t="shared" si="47"/>
        <v>0</v>
      </c>
      <c r="H342" s="968"/>
      <c r="I342" s="1151"/>
      <c r="J342" s="27"/>
      <c r="K342" s="563"/>
    </row>
    <row r="343" spans="1:11">
      <c r="A343" s="579" t="s">
        <v>1357</v>
      </c>
      <c r="B343" s="721"/>
      <c r="C343" s="968"/>
      <c r="D343" s="1119"/>
      <c r="E343" s="27"/>
      <c r="F343" s="563"/>
      <c r="G343" s="1162">
        <f t="shared" si="47"/>
        <v>0</v>
      </c>
      <c r="H343" s="968"/>
      <c r="I343" s="1151"/>
      <c r="J343" s="27"/>
      <c r="K343" s="563"/>
    </row>
    <row r="344" spans="1:11">
      <c r="A344" s="579" t="s">
        <v>1304</v>
      </c>
      <c r="B344" s="721"/>
      <c r="C344" s="968"/>
      <c r="D344" s="1119"/>
      <c r="E344" s="27"/>
      <c r="F344" s="563"/>
      <c r="G344" s="1162">
        <f t="shared" si="47"/>
        <v>0</v>
      </c>
      <c r="H344" s="968"/>
      <c r="I344" s="1151"/>
      <c r="J344" s="27"/>
      <c r="K344" s="563"/>
    </row>
    <row r="345" spans="1:11">
      <c r="A345" s="579" t="s">
        <v>1304</v>
      </c>
      <c r="B345" s="721"/>
      <c r="C345" s="968"/>
      <c r="D345" s="1119"/>
      <c r="E345" s="27"/>
      <c r="F345" s="563"/>
      <c r="G345" s="1162">
        <f t="shared" si="47"/>
        <v>0</v>
      </c>
      <c r="H345" s="968"/>
      <c r="I345" s="1151"/>
      <c r="J345" s="27"/>
      <c r="K345" s="563"/>
    </row>
    <row r="346" spans="1:11" ht="12" thickBot="1">
      <c r="A346" s="1239" t="s">
        <v>1304</v>
      </c>
      <c r="B346" s="1139"/>
      <c r="C346" s="1192"/>
      <c r="D346" s="1120"/>
      <c r="E346" s="565"/>
      <c r="F346" s="566"/>
      <c r="G346" s="1162">
        <f t="shared" si="47"/>
        <v>0</v>
      </c>
      <c r="H346" s="1192"/>
      <c r="I346" s="1152"/>
      <c r="J346" s="565"/>
      <c r="K346" s="566"/>
    </row>
    <row r="347" spans="1:11" ht="17.25" customHeight="1" thickBot="1">
      <c r="A347" s="923" t="s">
        <v>128</v>
      </c>
      <c r="B347" s="1412">
        <f>SUM(B330:B346)</f>
        <v>0</v>
      </c>
      <c r="C347" s="1413"/>
      <c r="D347" s="975"/>
      <c r="E347" s="899" t="s">
        <v>228</v>
      </c>
      <c r="F347" s="976"/>
      <c r="G347" s="1412">
        <f>SUM(G330:G346)</f>
        <v>0</v>
      </c>
      <c r="H347" s="1413"/>
      <c r="I347" s="977"/>
      <c r="J347" s="899" t="str">
        <f>E347</f>
        <v>------------------------</v>
      </c>
      <c r="K347" s="978"/>
    </row>
    <row r="348" spans="1:11">
      <c r="A348" s="768"/>
      <c r="B348" s="767"/>
      <c r="C348" s="767"/>
      <c r="D348" s="767"/>
      <c r="E348" s="767"/>
      <c r="F348" s="843"/>
      <c r="G348" s="1406"/>
      <c r="H348" s="1406"/>
      <c r="I348" s="1406"/>
      <c r="J348" s="1406"/>
      <c r="K348" s="1406"/>
    </row>
    <row r="349" spans="1:11">
      <c r="A349" s="979" t="s">
        <v>229</v>
      </c>
      <c r="B349" s="980"/>
      <c r="C349" s="981"/>
      <c r="D349" s="767"/>
      <c r="E349" s="767"/>
      <c r="F349" s="843" t="s">
        <v>1249</v>
      </c>
      <c r="G349" s="1406" t="e">
        <f>XONNOM &amp; " " &amp; XONPRE &amp; ", " &amp; TEXT(XONCP,"@@@@") &amp; " " &amp; XONLOC</f>
        <v>#VALUE!</v>
      </c>
      <c r="H349" s="1406"/>
      <c r="I349" s="1406"/>
      <c r="J349" s="1406"/>
      <c r="K349" s="1406"/>
    </row>
    <row r="350" spans="1:11">
      <c r="A350" s="914"/>
      <c r="B350" s="982"/>
      <c r="C350" s="982"/>
      <c r="D350" s="767"/>
      <c r="E350" s="767"/>
      <c r="F350" s="843" t="s">
        <v>68</v>
      </c>
      <c r="G350" s="1411">
        <f>J6</f>
        <v>0</v>
      </c>
      <c r="H350" s="1411"/>
      <c r="I350" s="903"/>
      <c r="J350" s="767"/>
      <c r="K350" s="767"/>
    </row>
    <row r="351" spans="1:11">
      <c r="A351" s="863" t="s">
        <v>1253</v>
      </c>
      <c r="B351" s="767"/>
      <c r="C351" s="767"/>
      <c r="D351" s="767"/>
      <c r="E351" s="767"/>
      <c r="F351" s="767"/>
      <c r="G351" s="767"/>
      <c r="H351" s="768"/>
      <c r="I351" s="767"/>
      <c r="J351" s="767"/>
      <c r="K351" s="767"/>
    </row>
    <row r="352" spans="1:11">
      <c r="A352" s="983" t="s">
        <v>1254</v>
      </c>
      <c r="B352" s="767"/>
      <c r="C352" s="767"/>
      <c r="D352" s="767"/>
      <c r="E352" s="767"/>
      <c r="F352" s="767"/>
      <c r="G352" s="767"/>
      <c r="H352" s="768"/>
      <c r="I352" s="767"/>
      <c r="J352" s="767"/>
      <c r="K352" s="767"/>
    </row>
    <row r="353" spans="1:11" ht="12" thickBot="1">
      <c r="A353" s="983"/>
      <c r="B353" s="767"/>
      <c r="C353" s="767"/>
      <c r="D353" s="767"/>
      <c r="E353" s="767"/>
      <c r="F353" s="767"/>
      <c r="G353" s="767"/>
      <c r="H353" s="768"/>
      <c r="I353" s="767"/>
      <c r="J353" s="767"/>
      <c r="K353" s="767"/>
    </row>
    <row r="354" spans="1:11" ht="12" thickBot="1">
      <c r="A354" s="948"/>
      <c r="B354" s="905" t="s">
        <v>82</v>
      </c>
      <c r="C354" s="906"/>
      <c r="D354" s="906"/>
      <c r="E354" s="906"/>
      <c r="F354" s="907"/>
      <c r="G354" s="905" t="s">
        <v>83</v>
      </c>
      <c r="H354" s="908"/>
      <c r="I354" s="906"/>
      <c r="J354" s="906"/>
      <c r="K354" s="907"/>
    </row>
    <row r="355" spans="1:11">
      <c r="A355" s="949" t="s">
        <v>218</v>
      </c>
      <c r="B355" s="950" t="s">
        <v>230</v>
      </c>
      <c r="C355" s="951"/>
      <c r="D355" s="984" t="s">
        <v>231</v>
      </c>
      <c r="E355" s="951"/>
      <c r="F355" s="985" t="s">
        <v>232</v>
      </c>
      <c r="G355" s="950" t="s">
        <v>230</v>
      </c>
      <c r="H355" s="955"/>
      <c r="I355" s="984" t="s">
        <v>231</v>
      </c>
      <c r="J355" s="951"/>
      <c r="K355" s="985" t="s">
        <v>232</v>
      </c>
    </row>
    <row r="356" spans="1:11" ht="12" thickBot="1">
      <c r="A356" s="917"/>
      <c r="B356" s="956" t="s">
        <v>233</v>
      </c>
      <c r="C356" s="957"/>
      <c r="D356" s="1128" t="s">
        <v>1174</v>
      </c>
      <c r="E356" s="957"/>
      <c r="F356" s="881" t="s">
        <v>1175</v>
      </c>
      <c r="G356" s="956" t="s">
        <v>233</v>
      </c>
      <c r="H356" s="960"/>
      <c r="I356" s="986" t="s">
        <v>1174</v>
      </c>
      <c r="J356" s="957"/>
      <c r="K356" s="881" t="s">
        <v>1175</v>
      </c>
    </row>
    <row r="357" spans="1:11" ht="12" thickBot="1">
      <c r="A357" s="1189" t="s">
        <v>1299</v>
      </c>
      <c r="B357" s="1184"/>
      <c r="C357" s="1185"/>
      <c r="D357" s="1186"/>
      <c r="E357" s="1185"/>
      <c r="F357" s="1187"/>
      <c r="G357" s="1184"/>
      <c r="H357" s="1188"/>
      <c r="I357" s="1087"/>
      <c r="J357" s="1185"/>
      <c r="K357" s="1187"/>
    </row>
    <row r="358" spans="1:11">
      <c r="A358" s="1253" t="s">
        <v>1298</v>
      </c>
      <c r="B358" s="1121"/>
      <c r="C358" s="1334"/>
      <c r="D358" s="1339">
        <v>0</v>
      </c>
      <c r="E358" s="963"/>
      <c r="F358" s="807">
        <f t="shared" ref="F358:F368" si="48">B358*D358</f>
        <v>0</v>
      </c>
      <c r="G358" s="1153">
        <f>BETAIL</f>
        <v>0</v>
      </c>
      <c r="H358" s="1334"/>
      <c r="I358" s="1343">
        <f>D358</f>
        <v>0</v>
      </c>
      <c r="J358" s="963"/>
      <c r="K358" s="807">
        <f t="shared" ref="K358:K379" si="49">G358*I358</f>
        <v>0</v>
      </c>
    </row>
    <row r="359" spans="1:11">
      <c r="A359" s="1050" t="s">
        <v>19</v>
      </c>
      <c r="B359" s="1122"/>
      <c r="C359" s="1335"/>
      <c r="D359" s="1340">
        <v>0</v>
      </c>
      <c r="E359" s="968"/>
      <c r="F359" s="798">
        <f t="shared" si="48"/>
        <v>0</v>
      </c>
      <c r="G359" s="1154">
        <f>B359</f>
        <v>0</v>
      </c>
      <c r="H359" s="1335"/>
      <c r="I359" s="1344">
        <f t="shared" ref="I359:I379" si="50">D359</f>
        <v>0</v>
      </c>
      <c r="J359" s="968"/>
      <c r="K359" s="798">
        <f t="shared" si="49"/>
        <v>0</v>
      </c>
    </row>
    <row r="360" spans="1:11">
      <c r="A360" s="1050" t="s">
        <v>237</v>
      </c>
      <c r="B360" s="1122"/>
      <c r="C360" s="1335"/>
      <c r="D360" s="1340">
        <v>0</v>
      </c>
      <c r="E360" s="968"/>
      <c r="F360" s="798">
        <f t="shared" si="48"/>
        <v>0</v>
      </c>
      <c r="G360" s="1154">
        <f t="shared" ref="G360:G366" si="51">B360</f>
        <v>0</v>
      </c>
      <c r="H360" s="1335"/>
      <c r="I360" s="1344">
        <f t="shared" si="50"/>
        <v>0</v>
      </c>
      <c r="J360" s="968"/>
      <c r="K360" s="798">
        <f t="shared" si="49"/>
        <v>0</v>
      </c>
    </row>
    <row r="361" spans="1:11">
      <c r="A361" s="1050" t="s">
        <v>16</v>
      </c>
      <c r="B361" s="1122"/>
      <c r="C361" s="1335"/>
      <c r="D361" s="1340">
        <v>0</v>
      </c>
      <c r="E361" s="968"/>
      <c r="F361" s="798">
        <f t="shared" si="48"/>
        <v>0</v>
      </c>
      <c r="G361" s="1154">
        <f t="shared" si="51"/>
        <v>0</v>
      </c>
      <c r="H361" s="1335"/>
      <c r="I361" s="1344">
        <f t="shared" si="50"/>
        <v>0</v>
      </c>
      <c r="J361" s="968"/>
      <c r="K361" s="798">
        <f t="shared" si="49"/>
        <v>0</v>
      </c>
    </row>
    <row r="362" spans="1:11">
      <c r="A362" s="1050" t="s">
        <v>17</v>
      </c>
      <c r="B362" s="1122"/>
      <c r="C362" s="1335"/>
      <c r="D362" s="1340">
        <v>0</v>
      </c>
      <c r="E362" s="968"/>
      <c r="F362" s="798">
        <f t="shared" si="48"/>
        <v>0</v>
      </c>
      <c r="G362" s="1154">
        <f t="shared" si="51"/>
        <v>0</v>
      </c>
      <c r="H362" s="1335"/>
      <c r="I362" s="1344">
        <f t="shared" si="50"/>
        <v>0</v>
      </c>
      <c r="J362" s="968"/>
      <c r="K362" s="798">
        <f t="shared" si="49"/>
        <v>0</v>
      </c>
    </row>
    <row r="363" spans="1:11">
      <c r="A363" s="1050" t="s">
        <v>18</v>
      </c>
      <c r="B363" s="1122"/>
      <c r="C363" s="1335"/>
      <c r="D363" s="1340">
        <v>0</v>
      </c>
      <c r="E363" s="968"/>
      <c r="F363" s="798">
        <f t="shared" si="48"/>
        <v>0</v>
      </c>
      <c r="G363" s="1154">
        <f t="shared" si="51"/>
        <v>0</v>
      </c>
      <c r="H363" s="1335"/>
      <c r="I363" s="1344">
        <f t="shared" si="50"/>
        <v>0</v>
      </c>
      <c r="J363" s="968"/>
      <c r="K363" s="798">
        <f t="shared" si="49"/>
        <v>0</v>
      </c>
    </row>
    <row r="364" spans="1:11">
      <c r="A364" s="1050" t="s">
        <v>20</v>
      </c>
      <c r="B364" s="1122"/>
      <c r="C364" s="1335"/>
      <c r="D364" s="1340">
        <v>0</v>
      </c>
      <c r="E364" s="968"/>
      <c r="F364" s="798">
        <f t="shared" si="48"/>
        <v>0</v>
      </c>
      <c r="G364" s="1154">
        <f t="shared" si="51"/>
        <v>0</v>
      </c>
      <c r="H364" s="1335"/>
      <c r="I364" s="1344">
        <f t="shared" si="50"/>
        <v>0</v>
      </c>
      <c r="J364" s="968"/>
      <c r="K364" s="798">
        <f t="shared" si="49"/>
        <v>0</v>
      </c>
    </row>
    <row r="365" spans="1:11">
      <c r="A365" s="1050" t="s">
        <v>245</v>
      </c>
      <c r="B365" s="1122"/>
      <c r="C365" s="1335"/>
      <c r="D365" s="1340">
        <v>0</v>
      </c>
      <c r="E365" s="968"/>
      <c r="F365" s="798">
        <f t="shared" si="48"/>
        <v>0</v>
      </c>
      <c r="G365" s="1154">
        <f t="shared" si="51"/>
        <v>0</v>
      </c>
      <c r="H365" s="1335"/>
      <c r="I365" s="1344">
        <f t="shared" si="50"/>
        <v>0</v>
      </c>
      <c r="J365" s="968"/>
      <c r="K365" s="798">
        <f t="shared" si="49"/>
        <v>0</v>
      </c>
    </row>
    <row r="366" spans="1:11" ht="12" thickBot="1">
      <c r="A366" s="572"/>
      <c r="B366" s="1122"/>
      <c r="C366" s="1335"/>
      <c r="D366" s="1340">
        <v>0</v>
      </c>
      <c r="E366" s="968"/>
      <c r="F366" s="798">
        <f t="shared" si="48"/>
        <v>0</v>
      </c>
      <c r="G366" s="1154">
        <f t="shared" si="51"/>
        <v>0</v>
      </c>
      <c r="H366" s="1335"/>
      <c r="I366" s="1344">
        <f t="shared" si="50"/>
        <v>0</v>
      </c>
      <c r="J366" s="968"/>
      <c r="K366" s="798">
        <f t="shared" si="49"/>
        <v>0</v>
      </c>
    </row>
    <row r="367" spans="1:11" ht="12" thickBot="1">
      <c r="A367" s="1251" t="s">
        <v>1300</v>
      </c>
      <c r="B367" s="1252"/>
      <c r="C367" s="1336"/>
      <c r="D367" s="1341">
        <v>0</v>
      </c>
      <c r="E367" s="1191"/>
      <c r="F367" s="1177">
        <f t="shared" si="48"/>
        <v>0</v>
      </c>
      <c r="G367" s="1252"/>
      <c r="H367" s="1336"/>
      <c r="I367" s="1341">
        <f t="shared" si="50"/>
        <v>0</v>
      </c>
      <c r="J367" s="1191"/>
      <c r="K367" s="1177"/>
    </row>
    <row r="368" spans="1:11">
      <c r="A368" s="1254" t="s">
        <v>1301</v>
      </c>
      <c r="B368" s="1122"/>
      <c r="C368" s="1335"/>
      <c r="D368" s="1340">
        <v>0</v>
      </c>
      <c r="E368" s="968"/>
      <c r="F368" s="798">
        <f t="shared" si="48"/>
        <v>0</v>
      </c>
      <c r="G368" s="1154">
        <f>B368</f>
        <v>0</v>
      </c>
      <c r="H368" s="1335"/>
      <c r="I368" s="1344">
        <f t="shared" si="50"/>
        <v>0</v>
      </c>
      <c r="J368" s="968"/>
      <c r="K368" s="798">
        <f t="shared" si="49"/>
        <v>0</v>
      </c>
    </row>
    <row r="369" spans="1:11">
      <c r="A369" s="1050" t="s">
        <v>19</v>
      </c>
      <c r="B369" s="1122"/>
      <c r="C369" s="1335"/>
      <c r="D369" s="1340">
        <v>0</v>
      </c>
      <c r="E369" s="968"/>
      <c r="F369" s="798">
        <f t="shared" ref="F369:F379" si="52">B369*D369</f>
        <v>0</v>
      </c>
      <c r="G369" s="1154">
        <f t="shared" ref="G369:G378" si="53">B369</f>
        <v>0</v>
      </c>
      <c r="H369" s="1335"/>
      <c r="I369" s="1344">
        <f t="shared" si="50"/>
        <v>0</v>
      </c>
      <c r="J369" s="968"/>
      <c r="K369" s="798">
        <f t="shared" si="49"/>
        <v>0</v>
      </c>
    </row>
    <row r="370" spans="1:11">
      <c r="A370" s="1058" t="s">
        <v>237</v>
      </c>
      <c r="B370" s="1122"/>
      <c r="C370" s="1335"/>
      <c r="D370" s="1340">
        <v>0</v>
      </c>
      <c r="E370" s="968"/>
      <c r="F370" s="798">
        <f t="shared" si="52"/>
        <v>0</v>
      </c>
      <c r="G370" s="1154">
        <f t="shared" si="53"/>
        <v>0</v>
      </c>
      <c r="H370" s="1335"/>
      <c r="I370" s="1344">
        <f t="shared" si="50"/>
        <v>0</v>
      </c>
      <c r="J370" s="968"/>
      <c r="K370" s="798">
        <f t="shared" si="49"/>
        <v>0</v>
      </c>
    </row>
    <row r="371" spans="1:11">
      <c r="A371" s="1050" t="s">
        <v>16</v>
      </c>
      <c r="B371" s="1122"/>
      <c r="C371" s="1335"/>
      <c r="D371" s="1340">
        <v>0</v>
      </c>
      <c r="E371" s="968"/>
      <c r="F371" s="798">
        <f t="shared" si="52"/>
        <v>0</v>
      </c>
      <c r="G371" s="1154">
        <f t="shared" si="53"/>
        <v>0</v>
      </c>
      <c r="H371" s="1335"/>
      <c r="I371" s="1344">
        <f t="shared" si="50"/>
        <v>0</v>
      </c>
      <c r="J371" s="968"/>
      <c r="K371" s="798">
        <f t="shared" si="49"/>
        <v>0</v>
      </c>
    </row>
    <row r="372" spans="1:11">
      <c r="A372" s="1050" t="s">
        <v>17</v>
      </c>
      <c r="B372" s="1122"/>
      <c r="C372" s="1335"/>
      <c r="D372" s="1340">
        <v>0</v>
      </c>
      <c r="E372" s="968"/>
      <c r="F372" s="798">
        <f t="shared" si="52"/>
        <v>0</v>
      </c>
      <c r="G372" s="1154">
        <f t="shared" si="53"/>
        <v>0</v>
      </c>
      <c r="H372" s="1335"/>
      <c r="I372" s="1344">
        <f t="shared" si="50"/>
        <v>0</v>
      </c>
      <c r="J372" s="968"/>
      <c r="K372" s="798">
        <f t="shared" si="49"/>
        <v>0</v>
      </c>
    </row>
    <row r="373" spans="1:11">
      <c r="A373" s="1050" t="s">
        <v>18</v>
      </c>
      <c r="B373" s="1122"/>
      <c r="C373" s="1335"/>
      <c r="D373" s="1340">
        <v>0</v>
      </c>
      <c r="E373" s="968"/>
      <c r="F373" s="798">
        <f t="shared" si="52"/>
        <v>0</v>
      </c>
      <c r="G373" s="1154">
        <f t="shared" si="53"/>
        <v>0</v>
      </c>
      <c r="H373" s="1335"/>
      <c r="I373" s="1344">
        <f t="shared" si="50"/>
        <v>0</v>
      </c>
      <c r="J373" s="968"/>
      <c r="K373" s="798">
        <f t="shared" si="49"/>
        <v>0</v>
      </c>
    </row>
    <row r="374" spans="1:11">
      <c r="A374" s="1050" t="s">
        <v>20</v>
      </c>
      <c r="B374" s="1122"/>
      <c r="C374" s="1335"/>
      <c r="D374" s="1340">
        <v>0</v>
      </c>
      <c r="E374" s="968"/>
      <c r="F374" s="798">
        <f t="shared" si="52"/>
        <v>0</v>
      </c>
      <c r="G374" s="1154">
        <f t="shared" si="53"/>
        <v>0</v>
      </c>
      <c r="H374" s="1335"/>
      <c r="I374" s="1344">
        <f t="shared" si="50"/>
        <v>0</v>
      </c>
      <c r="J374" s="968"/>
      <c r="K374" s="798">
        <f t="shared" si="49"/>
        <v>0</v>
      </c>
    </row>
    <row r="375" spans="1:11" ht="12.75" customHeight="1">
      <c r="A375" s="1050" t="s">
        <v>245</v>
      </c>
      <c r="B375" s="1122"/>
      <c r="C375" s="1335"/>
      <c r="D375" s="1340">
        <v>0</v>
      </c>
      <c r="E375" s="968"/>
      <c r="F375" s="798">
        <f t="shared" si="52"/>
        <v>0</v>
      </c>
      <c r="G375" s="1154">
        <f t="shared" si="53"/>
        <v>0</v>
      </c>
      <c r="H375" s="1335"/>
      <c r="I375" s="1344">
        <f t="shared" si="50"/>
        <v>0</v>
      </c>
      <c r="J375" s="968"/>
      <c r="K375" s="798">
        <f t="shared" si="49"/>
        <v>0</v>
      </c>
    </row>
    <row r="376" spans="1:11">
      <c r="A376" s="1050" t="s">
        <v>246</v>
      </c>
      <c r="B376" s="1122"/>
      <c r="C376" s="1335"/>
      <c r="D376" s="1340">
        <v>0</v>
      </c>
      <c r="E376" s="968"/>
      <c r="F376" s="798">
        <f t="shared" si="52"/>
        <v>0</v>
      </c>
      <c r="G376" s="1154">
        <f t="shared" si="53"/>
        <v>0</v>
      </c>
      <c r="H376" s="1335"/>
      <c r="I376" s="1344">
        <f t="shared" si="50"/>
        <v>0</v>
      </c>
      <c r="J376" s="968"/>
      <c r="K376" s="798">
        <f t="shared" si="49"/>
        <v>0</v>
      </c>
    </row>
    <row r="377" spans="1:11">
      <c r="A377" s="1050" t="s">
        <v>247</v>
      </c>
      <c r="B377" s="1122"/>
      <c r="C377" s="1335"/>
      <c r="D377" s="1340">
        <v>0</v>
      </c>
      <c r="E377" s="968"/>
      <c r="F377" s="798">
        <f t="shared" si="52"/>
        <v>0</v>
      </c>
      <c r="G377" s="1154">
        <f t="shared" si="53"/>
        <v>0</v>
      </c>
      <c r="H377" s="1335"/>
      <c r="I377" s="1344">
        <f t="shared" si="50"/>
        <v>0</v>
      </c>
      <c r="J377" s="968"/>
      <c r="K377" s="798">
        <f t="shared" si="49"/>
        <v>0</v>
      </c>
    </row>
    <row r="378" spans="1:11">
      <c r="A378" s="1050" t="s">
        <v>21</v>
      </c>
      <c r="B378" s="1122"/>
      <c r="C378" s="1335"/>
      <c r="D378" s="1340">
        <v>0</v>
      </c>
      <c r="E378" s="968"/>
      <c r="F378" s="798">
        <f t="shared" si="52"/>
        <v>0</v>
      </c>
      <c r="G378" s="1154">
        <f t="shared" si="53"/>
        <v>0</v>
      </c>
      <c r="H378" s="1335"/>
      <c r="I378" s="1344">
        <f t="shared" si="50"/>
        <v>0</v>
      </c>
      <c r="J378" s="968"/>
      <c r="K378" s="798">
        <f t="shared" si="49"/>
        <v>0</v>
      </c>
    </row>
    <row r="379" spans="1:11" ht="12" thickBot="1">
      <c r="A379" s="624"/>
      <c r="B379" s="1123"/>
      <c r="C379" s="1337"/>
      <c r="D379" s="1342">
        <v>0</v>
      </c>
      <c r="E379" s="1192"/>
      <c r="F379" s="798">
        <f t="shared" si="52"/>
        <v>0</v>
      </c>
      <c r="G379" s="1154">
        <f>B379</f>
        <v>0</v>
      </c>
      <c r="H379" s="1337"/>
      <c r="I379" s="1345">
        <f t="shared" si="50"/>
        <v>0</v>
      </c>
      <c r="J379" s="1192"/>
      <c r="K379" s="798">
        <f t="shared" si="49"/>
        <v>0</v>
      </c>
    </row>
    <row r="380" spans="1:11" ht="16.5" customHeight="1" thickBot="1">
      <c r="A380" s="923" t="s">
        <v>248</v>
      </c>
      <c r="B380" s="780">
        <f>SUM(B358:B379)</f>
        <v>0</v>
      </c>
      <c r="C380" s="1338"/>
      <c r="D380" s="988" t="s">
        <v>249</v>
      </c>
      <c r="E380" s="970"/>
      <c r="F380" s="809">
        <f>SUM(F358:F379)</f>
        <v>0</v>
      </c>
      <c r="G380" s="780">
        <f>SUM(G358:G379)</f>
        <v>0</v>
      </c>
      <c r="H380" s="1338"/>
      <c r="I380" s="988" t="s">
        <v>249</v>
      </c>
      <c r="J380" s="970"/>
      <c r="K380" s="809">
        <f>SUM(K358:K379)</f>
        <v>0</v>
      </c>
    </row>
    <row r="381" spans="1:11" ht="15.75" customHeight="1" thickBot="1">
      <c r="A381" s="989" t="s">
        <v>250</v>
      </c>
      <c r="B381" s="990"/>
      <c r="C381" s="1124"/>
      <c r="D381" s="630" t="s">
        <v>1128</v>
      </c>
      <c r="E381" s="630"/>
      <c r="F381" s="630"/>
      <c r="G381" s="1416"/>
      <c r="H381" s="1417"/>
      <c r="I381" s="630" t="s">
        <v>1129</v>
      </c>
      <c r="J381" s="630"/>
      <c r="K381" s="625"/>
    </row>
    <row r="382" spans="1:11">
      <c r="A382" s="991"/>
      <c r="B382" s="968"/>
      <c r="C382" s="992"/>
      <c r="D382" s="915"/>
      <c r="E382" s="915"/>
      <c r="F382" s="915"/>
      <c r="G382" s="992"/>
      <c r="H382" s="914"/>
      <c r="I382" s="915"/>
      <c r="J382" s="915"/>
      <c r="K382" s="915"/>
    </row>
    <row r="383" spans="1:11" ht="12" thickBot="1">
      <c r="A383" s="993" t="s">
        <v>1255</v>
      </c>
      <c r="B383" s="767"/>
      <c r="C383" s="767"/>
      <c r="D383" s="767"/>
      <c r="E383" s="767"/>
      <c r="F383" s="767"/>
      <c r="G383" s="767"/>
      <c r="H383" s="768"/>
      <c r="I383" s="767"/>
      <c r="J383" s="767"/>
      <c r="K383" s="767"/>
    </row>
    <row r="384" spans="1:11" ht="12" thickBot="1">
      <c r="A384" s="948"/>
      <c r="B384" s="905" t="s">
        <v>82</v>
      </c>
      <c r="C384" s="906"/>
      <c r="D384" s="906"/>
      <c r="E384" s="906"/>
      <c r="F384" s="907"/>
      <c r="G384" s="905" t="s">
        <v>83</v>
      </c>
      <c r="H384" s="908"/>
      <c r="I384" s="906"/>
      <c r="J384" s="906"/>
      <c r="K384" s="907"/>
    </row>
    <row r="385" spans="1:11">
      <c r="A385" s="949" t="s">
        <v>218</v>
      </c>
      <c r="B385" s="950" t="s">
        <v>230</v>
      </c>
      <c r="C385" s="951"/>
      <c r="D385" s="984" t="s">
        <v>231</v>
      </c>
      <c r="E385" s="951"/>
      <c r="F385" s="985" t="s">
        <v>251</v>
      </c>
      <c r="G385" s="950" t="s">
        <v>230</v>
      </c>
      <c r="H385" s="955"/>
      <c r="I385" s="984" t="s">
        <v>231</v>
      </c>
      <c r="J385" s="951"/>
      <c r="K385" s="985" t="s">
        <v>251</v>
      </c>
    </row>
    <row r="386" spans="1:11" ht="12" thickBot="1">
      <c r="A386" s="917"/>
      <c r="B386" s="956" t="s">
        <v>233</v>
      </c>
      <c r="C386" s="957"/>
      <c r="D386" s="986" t="s">
        <v>1174</v>
      </c>
      <c r="E386" s="957"/>
      <c r="F386" s="881" t="s">
        <v>1176</v>
      </c>
      <c r="G386" s="956" t="s">
        <v>233</v>
      </c>
      <c r="H386" s="960"/>
      <c r="I386" s="986" t="s">
        <v>1174</v>
      </c>
      <c r="J386" s="957"/>
      <c r="K386" s="881" t="s">
        <v>1176</v>
      </c>
    </row>
    <row r="387" spans="1:11">
      <c r="A387" s="631" t="s">
        <v>252</v>
      </c>
      <c r="B387" s="1121"/>
      <c r="C387" s="1334"/>
      <c r="D387" s="1339">
        <v>0</v>
      </c>
      <c r="E387" s="963"/>
      <c r="F387" s="807">
        <f t="shared" ref="F387:F394" si="54">B387*D387</f>
        <v>0</v>
      </c>
      <c r="G387" s="1153">
        <f>B387</f>
        <v>0</v>
      </c>
      <c r="H387" s="1334"/>
      <c r="I387" s="1343">
        <f t="shared" ref="I387:I395" si="55">D387</f>
        <v>0</v>
      </c>
      <c r="J387" s="963"/>
      <c r="K387" s="807">
        <f t="shared" ref="K387:K394" si="56">G387*I387</f>
        <v>0</v>
      </c>
    </row>
    <row r="388" spans="1:11">
      <c r="A388" s="579" t="s">
        <v>22</v>
      </c>
      <c r="B388" s="1122"/>
      <c r="C388" s="1335"/>
      <c r="D388" s="1340">
        <v>0</v>
      </c>
      <c r="E388" s="968"/>
      <c r="F388" s="798">
        <f t="shared" si="54"/>
        <v>0</v>
      </c>
      <c r="G388" s="1154">
        <f t="shared" ref="G388:G393" si="57">B388</f>
        <v>0</v>
      </c>
      <c r="H388" s="1335"/>
      <c r="I388" s="1344">
        <f t="shared" si="55"/>
        <v>0</v>
      </c>
      <c r="J388" s="968"/>
      <c r="K388" s="798">
        <f t="shared" si="56"/>
        <v>0</v>
      </c>
    </row>
    <row r="389" spans="1:11">
      <c r="A389" s="572" t="s">
        <v>253</v>
      </c>
      <c r="B389" s="1122">
        <v>0</v>
      </c>
      <c r="C389" s="1335"/>
      <c r="D389" s="1340">
        <v>0</v>
      </c>
      <c r="E389" s="968"/>
      <c r="F389" s="798">
        <f t="shared" si="54"/>
        <v>0</v>
      </c>
      <c r="G389" s="1154">
        <f t="shared" si="57"/>
        <v>0</v>
      </c>
      <c r="H389" s="1335"/>
      <c r="I389" s="1344">
        <f t="shared" si="55"/>
        <v>0</v>
      </c>
      <c r="J389" s="968"/>
      <c r="K389" s="798">
        <f t="shared" si="56"/>
        <v>0</v>
      </c>
    </row>
    <row r="390" spans="1:11">
      <c r="A390" s="572" t="s">
        <v>23</v>
      </c>
      <c r="B390" s="1122">
        <v>0</v>
      </c>
      <c r="C390" s="1335"/>
      <c r="D390" s="1340">
        <v>0</v>
      </c>
      <c r="E390" s="968"/>
      <c r="F390" s="798">
        <f t="shared" si="54"/>
        <v>0</v>
      </c>
      <c r="G390" s="1154">
        <f t="shared" si="57"/>
        <v>0</v>
      </c>
      <c r="H390" s="1335"/>
      <c r="I390" s="1344">
        <f t="shared" si="55"/>
        <v>0</v>
      </c>
      <c r="J390" s="968"/>
      <c r="K390" s="798">
        <f t="shared" si="56"/>
        <v>0</v>
      </c>
    </row>
    <row r="391" spans="1:11">
      <c r="A391" s="579" t="s">
        <v>254</v>
      </c>
      <c r="B391" s="1122">
        <v>0</v>
      </c>
      <c r="C391" s="1335"/>
      <c r="D391" s="1340">
        <v>0</v>
      </c>
      <c r="E391" s="968"/>
      <c r="F391" s="798">
        <f t="shared" si="54"/>
        <v>0</v>
      </c>
      <c r="G391" s="1154">
        <f t="shared" si="57"/>
        <v>0</v>
      </c>
      <c r="H391" s="1335"/>
      <c r="I391" s="1344">
        <f t="shared" si="55"/>
        <v>0</v>
      </c>
      <c r="J391" s="968"/>
      <c r="K391" s="798">
        <f t="shared" si="56"/>
        <v>0</v>
      </c>
    </row>
    <row r="392" spans="1:11">
      <c r="A392" s="572" t="s">
        <v>247</v>
      </c>
      <c r="B392" s="1122">
        <v>0</v>
      </c>
      <c r="C392" s="1335"/>
      <c r="D392" s="1340">
        <v>0</v>
      </c>
      <c r="E392" s="968"/>
      <c r="F392" s="798">
        <f t="shared" si="54"/>
        <v>0</v>
      </c>
      <c r="G392" s="1154">
        <f t="shared" si="57"/>
        <v>0</v>
      </c>
      <c r="H392" s="1335"/>
      <c r="I392" s="1344">
        <f t="shared" si="55"/>
        <v>0</v>
      </c>
      <c r="J392" s="968"/>
      <c r="K392" s="798">
        <f t="shared" si="56"/>
        <v>0</v>
      </c>
    </row>
    <row r="393" spans="1:11">
      <c r="A393" s="572" t="s">
        <v>21</v>
      </c>
      <c r="B393" s="1122">
        <v>0</v>
      </c>
      <c r="C393" s="1335"/>
      <c r="D393" s="1340">
        <v>0</v>
      </c>
      <c r="E393" s="968"/>
      <c r="F393" s="798">
        <f t="shared" si="54"/>
        <v>0</v>
      </c>
      <c r="G393" s="1154">
        <f t="shared" si="57"/>
        <v>0</v>
      </c>
      <c r="H393" s="1335"/>
      <c r="I393" s="1344">
        <f t="shared" si="55"/>
        <v>0</v>
      </c>
      <c r="J393" s="968"/>
      <c r="K393" s="798">
        <f t="shared" si="56"/>
        <v>0</v>
      </c>
    </row>
    <row r="394" spans="1:11" ht="12" thickBot="1">
      <c r="A394" s="572"/>
      <c r="B394" s="1122"/>
      <c r="C394" s="1335"/>
      <c r="D394" s="1340">
        <v>0</v>
      </c>
      <c r="E394" s="968"/>
      <c r="F394" s="798">
        <f t="shared" si="54"/>
        <v>0</v>
      </c>
      <c r="G394" s="1154">
        <f>B394</f>
        <v>0</v>
      </c>
      <c r="H394" s="1335"/>
      <c r="I394" s="1344">
        <f>D394</f>
        <v>0</v>
      </c>
      <c r="J394" s="968"/>
      <c r="K394" s="798">
        <f t="shared" si="56"/>
        <v>0</v>
      </c>
    </row>
    <row r="395" spans="1:11" ht="16.5" customHeight="1" thickBot="1">
      <c r="A395" s="923" t="s">
        <v>255</v>
      </c>
      <c r="B395" s="1437">
        <f>SUM(B387:B393)</f>
        <v>0</v>
      </c>
      <c r="C395" s="1438"/>
      <c r="D395" s="988" t="s">
        <v>257</v>
      </c>
      <c r="E395" s="970"/>
      <c r="F395" s="800">
        <f>SUM(F387:F393)</f>
        <v>0</v>
      </c>
      <c r="G395" s="1437">
        <f>SUM(G387:G394)</f>
        <v>0</v>
      </c>
      <c r="H395" s="1438"/>
      <c r="I395" s="988" t="str">
        <f t="shared" si="55"/>
        <v>-------------------</v>
      </c>
      <c r="J395" s="970"/>
      <c r="K395" s="800">
        <f>SUM(K387:K394)</f>
        <v>0</v>
      </c>
    </row>
    <row r="396" spans="1:11" ht="16.5" customHeight="1">
      <c r="A396" s="941"/>
      <c r="B396" s="994"/>
      <c r="C396" s="968"/>
      <c r="D396" s="994"/>
      <c r="E396" s="968"/>
      <c r="F396" s="915"/>
      <c r="G396" s="994"/>
      <c r="H396" s="991"/>
      <c r="I396" s="994"/>
      <c r="J396" s="968"/>
      <c r="K396" s="915"/>
    </row>
    <row r="397" spans="1:11" ht="12" thickBot="1">
      <c r="A397" s="983" t="s">
        <v>1258</v>
      </c>
      <c r="B397" s="767"/>
      <c r="C397" s="767"/>
      <c r="D397" s="767"/>
      <c r="E397" s="767"/>
      <c r="F397" s="767"/>
      <c r="G397" s="767"/>
      <c r="H397" s="768"/>
      <c r="I397" s="767"/>
      <c r="J397" s="767"/>
      <c r="K397" s="767"/>
    </row>
    <row r="398" spans="1:11" ht="12" thickBot="1">
      <c r="A398" s="995"/>
      <c r="B398" s="905" t="s">
        <v>82</v>
      </c>
      <c r="C398" s="906"/>
      <c r="D398" s="906"/>
      <c r="E398" s="906"/>
      <c r="F398" s="907"/>
      <c r="G398" s="905" t="s">
        <v>83</v>
      </c>
      <c r="H398" s="908"/>
      <c r="I398" s="906"/>
      <c r="J398" s="906"/>
      <c r="K398" s="907"/>
    </row>
    <row r="399" spans="1:11">
      <c r="A399" s="949" t="s">
        <v>258</v>
      </c>
      <c r="B399" s="950" t="s">
        <v>259</v>
      </c>
      <c r="C399" s="951"/>
      <c r="D399" s="984" t="s">
        <v>1177</v>
      </c>
      <c r="E399" s="951"/>
      <c r="F399" s="985" t="s">
        <v>260</v>
      </c>
      <c r="G399" s="950" t="s">
        <v>259</v>
      </c>
      <c r="H399" s="955"/>
      <c r="I399" s="984" t="s">
        <v>1177</v>
      </c>
      <c r="J399" s="951"/>
      <c r="K399" s="985" t="s">
        <v>260</v>
      </c>
    </row>
    <row r="400" spans="1:11" ht="12" thickBot="1">
      <c r="A400" s="973"/>
      <c r="B400" s="956" t="s">
        <v>1178</v>
      </c>
      <c r="C400" s="957"/>
      <c r="D400" s="986" t="s">
        <v>1179</v>
      </c>
      <c r="E400" s="957"/>
      <c r="F400" s="881" t="s">
        <v>1176</v>
      </c>
      <c r="G400" s="956" t="s">
        <v>1178</v>
      </c>
      <c r="H400" s="960"/>
      <c r="I400" s="986" t="s">
        <v>1179</v>
      </c>
      <c r="J400" s="957"/>
      <c r="K400" s="881" t="s">
        <v>1176</v>
      </c>
    </row>
    <row r="401" spans="1:11">
      <c r="A401" s="572" t="s">
        <v>261</v>
      </c>
      <c r="B401" s="1122"/>
      <c r="C401" s="1335"/>
      <c r="D401" s="1340">
        <v>0</v>
      </c>
      <c r="E401" s="968"/>
      <c r="F401" s="798">
        <f>ROUND(B401*D401,0)</f>
        <v>0</v>
      </c>
      <c r="G401" s="1154">
        <f>H115+H117</f>
        <v>0</v>
      </c>
      <c r="H401" s="1335"/>
      <c r="I401" s="1344">
        <f t="shared" ref="I401:I406" si="58">D401</f>
        <v>0</v>
      </c>
      <c r="J401" s="1191"/>
      <c r="K401" s="798">
        <f>ROUND(G401*I401,0)</f>
        <v>0</v>
      </c>
    </row>
    <row r="402" spans="1:11" ht="12.75" customHeight="1">
      <c r="A402" s="572" t="s">
        <v>262</v>
      </c>
      <c r="B402" s="1122">
        <v>0</v>
      </c>
      <c r="C402" s="1335"/>
      <c r="D402" s="1340">
        <v>0</v>
      </c>
      <c r="E402" s="968"/>
      <c r="F402" s="798">
        <f>B402*D402</f>
        <v>0</v>
      </c>
      <c r="G402" s="1154">
        <v>0</v>
      </c>
      <c r="H402" s="1335"/>
      <c r="I402" s="1344">
        <f t="shared" si="58"/>
        <v>0</v>
      </c>
      <c r="J402" s="1191"/>
      <c r="K402" s="798">
        <f>G402*I402</f>
        <v>0</v>
      </c>
    </row>
    <row r="403" spans="1:11">
      <c r="A403" s="572" t="s">
        <v>263</v>
      </c>
      <c r="B403" s="1122">
        <f>ROUND((C116-C117)/21.8,0)</f>
        <v>0</v>
      </c>
      <c r="C403" s="1335"/>
      <c r="D403" s="1340">
        <v>0</v>
      </c>
      <c r="E403" s="968"/>
      <c r="F403" s="798">
        <f>B403*D403</f>
        <v>0</v>
      </c>
      <c r="G403" s="1154">
        <f>ROUND((H116-H117)/21.8,0)</f>
        <v>0</v>
      </c>
      <c r="H403" s="1335"/>
      <c r="I403" s="1344">
        <f t="shared" si="58"/>
        <v>0</v>
      </c>
      <c r="J403" s="1191"/>
      <c r="K403" s="798">
        <f>G403*I403</f>
        <v>0</v>
      </c>
    </row>
    <row r="404" spans="1:11">
      <c r="A404" s="572" t="s">
        <v>264</v>
      </c>
      <c r="B404" s="1122">
        <v>0</v>
      </c>
      <c r="C404" s="1335"/>
      <c r="D404" s="1340">
        <v>0</v>
      </c>
      <c r="E404" s="968"/>
      <c r="F404" s="798">
        <f>B404*D404</f>
        <v>0</v>
      </c>
      <c r="G404" s="1154">
        <f>B404</f>
        <v>0</v>
      </c>
      <c r="H404" s="1335"/>
      <c r="I404" s="1344">
        <f t="shared" si="58"/>
        <v>0</v>
      </c>
      <c r="J404" s="1191"/>
      <c r="K404" s="798">
        <f>G404*I404</f>
        <v>0</v>
      </c>
    </row>
    <row r="405" spans="1:11" ht="12" thickBot="1">
      <c r="A405" s="624" t="s">
        <v>265</v>
      </c>
      <c r="B405" s="1123">
        <v>0</v>
      </c>
      <c r="C405" s="1337"/>
      <c r="D405" s="1342">
        <v>0</v>
      </c>
      <c r="E405" s="1192"/>
      <c r="F405" s="808">
        <f>B405*D405</f>
        <v>0</v>
      </c>
      <c r="G405" s="1157">
        <f>B405</f>
        <v>0</v>
      </c>
      <c r="H405" s="1337"/>
      <c r="I405" s="1345">
        <f t="shared" si="58"/>
        <v>0</v>
      </c>
      <c r="J405" s="1066"/>
      <c r="K405" s="808">
        <f>G405*I405</f>
        <v>0</v>
      </c>
    </row>
    <row r="406" spans="1:11" ht="16.5" customHeight="1" thickBot="1">
      <c r="A406" s="923" t="s">
        <v>248</v>
      </c>
      <c r="B406" s="810" t="s">
        <v>266</v>
      </c>
      <c r="C406" s="970"/>
      <c r="D406" s="988" t="s">
        <v>110</v>
      </c>
      <c r="E406" s="970"/>
      <c r="F406" s="800">
        <f>SUM(F401:F405)</f>
        <v>0</v>
      </c>
      <c r="G406" s="810" t="str">
        <f>B406</f>
        <v>--------------</v>
      </c>
      <c r="H406" s="996"/>
      <c r="I406" s="997" t="str">
        <f t="shared" si="58"/>
        <v>-----------</v>
      </c>
      <c r="J406" s="970"/>
      <c r="K406" s="800">
        <f>SUM(K401:K405)</f>
        <v>0</v>
      </c>
    </row>
    <row r="407" spans="1:11">
      <c r="A407" s="768"/>
      <c r="B407" s="767"/>
      <c r="C407" s="767"/>
      <c r="D407" s="767"/>
      <c r="E407" s="767"/>
      <c r="F407" s="767"/>
      <c r="G407" s="767"/>
      <c r="H407" s="768"/>
      <c r="I407" s="767"/>
      <c r="J407" s="767"/>
      <c r="K407" s="767"/>
    </row>
    <row r="408" spans="1:11" ht="12" thickBot="1">
      <c r="A408" s="983" t="s">
        <v>1257</v>
      </c>
      <c r="B408" s="767"/>
      <c r="C408" s="767"/>
      <c r="D408" s="767"/>
      <c r="E408" s="767"/>
      <c r="F408" s="767"/>
      <c r="G408" s="767"/>
      <c r="H408" s="768"/>
      <c r="I408" s="767"/>
      <c r="J408" s="767"/>
      <c r="K408" s="767"/>
    </row>
    <row r="409" spans="1:11" ht="12" thickBot="1">
      <c r="A409" s="995"/>
      <c r="B409" s="905" t="s">
        <v>82</v>
      </c>
      <c r="C409" s="906"/>
      <c r="D409" s="906"/>
      <c r="E409" s="906"/>
      <c r="F409" s="907"/>
      <c r="G409" s="905" t="s">
        <v>83</v>
      </c>
      <c r="H409" s="908"/>
      <c r="I409" s="906"/>
      <c r="J409" s="906"/>
      <c r="K409" s="907"/>
    </row>
    <row r="410" spans="1:11">
      <c r="A410" s="949" t="s">
        <v>258</v>
      </c>
      <c r="B410" s="998" t="s">
        <v>267</v>
      </c>
      <c r="C410" s="999" t="s">
        <v>268</v>
      </c>
      <c r="D410" s="984" t="s">
        <v>1182</v>
      </c>
      <c r="E410" s="951"/>
      <c r="F410" s="985" t="s">
        <v>269</v>
      </c>
      <c r="G410" s="998" t="s">
        <v>267</v>
      </c>
      <c r="H410" s="1000" t="s">
        <v>268</v>
      </c>
      <c r="I410" s="984" t="s">
        <v>1182</v>
      </c>
      <c r="J410" s="951"/>
      <c r="K410" s="985" t="s">
        <v>269</v>
      </c>
    </row>
    <row r="411" spans="1:11" ht="12" thickBot="1">
      <c r="A411" s="973"/>
      <c r="B411" s="1001" t="s">
        <v>270</v>
      </c>
      <c r="C411" s="1002" t="s">
        <v>234</v>
      </c>
      <c r="D411" s="1003" t="s">
        <v>1180</v>
      </c>
      <c r="E411" s="957"/>
      <c r="F411" s="881" t="s">
        <v>1176</v>
      </c>
      <c r="G411" s="1001" t="s">
        <v>270</v>
      </c>
      <c r="H411" s="1004" t="s">
        <v>234</v>
      </c>
      <c r="I411" s="1003" t="s">
        <v>1180</v>
      </c>
      <c r="J411" s="957"/>
      <c r="K411" s="881" t="s">
        <v>1176</v>
      </c>
    </row>
    <row r="412" spans="1:11">
      <c r="A412" s="1253" t="s">
        <v>1298</v>
      </c>
      <c r="B412" s="1129"/>
      <c r="C412" s="1132"/>
      <c r="D412" s="1339"/>
      <c r="E412" s="963"/>
      <c r="F412" s="807">
        <f t="shared" ref="F412:F431" si="59">B412*C412*D412</f>
        <v>0</v>
      </c>
      <c r="G412" s="1156">
        <f>B412</f>
        <v>0</v>
      </c>
      <c r="H412" s="1222">
        <f t="shared" ref="H412:H431" si="60">C412</f>
        <v>0</v>
      </c>
      <c r="I412" s="1343">
        <f>D412</f>
        <v>0</v>
      </c>
      <c r="J412" s="963"/>
      <c r="K412" s="807">
        <f t="shared" ref="K412:K431" si="61">G412*H412*I412</f>
        <v>0</v>
      </c>
    </row>
    <row r="413" spans="1:11">
      <c r="A413" s="1050" t="s">
        <v>29</v>
      </c>
      <c r="B413" s="1130"/>
      <c r="C413" s="1133"/>
      <c r="D413" s="1340"/>
      <c r="E413" s="968"/>
      <c r="F413" s="798">
        <f t="shared" si="59"/>
        <v>0</v>
      </c>
      <c r="G413" s="1155">
        <f>B413</f>
        <v>0</v>
      </c>
      <c r="H413" s="635">
        <f t="shared" si="60"/>
        <v>0</v>
      </c>
      <c r="I413" s="1344">
        <f>D413</f>
        <v>0</v>
      </c>
      <c r="J413" s="968"/>
      <c r="K413" s="798">
        <f t="shared" si="61"/>
        <v>0</v>
      </c>
    </row>
    <row r="414" spans="1:11">
      <c r="A414" s="1050" t="s">
        <v>24</v>
      </c>
      <c r="B414" s="1130"/>
      <c r="C414" s="1133"/>
      <c r="D414" s="1340"/>
      <c r="E414" s="968"/>
      <c r="F414" s="798">
        <f t="shared" si="59"/>
        <v>0</v>
      </c>
      <c r="G414" s="1155">
        <f t="shared" ref="G414:G431" si="62">B414</f>
        <v>0</v>
      </c>
      <c r="H414" s="635">
        <f t="shared" si="60"/>
        <v>0</v>
      </c>
      <c r="I414" s="1344">
        <f t="shared" ref="I414:I431" si="63">D414</f>
        <v>0</v>
      </c>
      <c r="J414" s="968"/>
      <c r="K414" s="798">
        <f t="shared" si="61"/>
        <v>0</v>
      </c>
    </row>
    <row r="415" spans="1:11">
      <c r="A415" s="1050" t="s">
        <v>25</v>
      </c>
      <c r="B415" s="1130"/>
      <c r="C415" s="1133"/>
      <c r="D415" s="1340"/>
      <c r="E415" s="968"/>
      <c r="F415" s="798">
        <f t="shared" si="59"/>
        <v>0</v>
      </c>
      <c r="G415" s="1155">
        <f t="shared" si="62"/>
        <v>0</v>
      </c>
      <c r="H415" s="635">
        <f t="shared" si="60"/>
        <v>0</v>
      </c>
      <c r="I415" s="1344">
        <f t="shared" si="63"/>
        <v>0</v>
      </c>
      <c r="J415" s="968"/>
      <c r="K415" s="798">
        <f t="shared" si="61"/>
        <v>0</v>
      </c>
    </row>
    <row r="416" spans="1:11">
      <c r="A416" s="1050" t="s">
        <v>26</v>
      </c>
      <c r="B416" s="1130"/>
      <c r="C416" s="1133"/>
      <c r="D416" s="1340"/>
      <c r="E416" s="968"/>
      <c r="F416" s="798">
        <f t="shared" si="59"/>
        <v>0</v>
      </c>
      <c r="G416" s="1155">
        <f t="shared" si="62"/>
        <v>0</v>
      </c>
      <c r="H416" s="635">
        <f t="shared" si="60"/>
        <v>0</v>
      </c>
      <c r="I416" s="1344">
        <f t="shared" si="63"/>
        <v>0</v>
      </c>
      <c r="J416" s="968"/>
      <c r="K416" s="798">
        <f t="shared" si="61"/>
        <v>0</v>
      </c>
    </row>
    <row r="417" spans="1:13">
      <c r="A417" s="1050" t="s">
        <v>27</v>
      </c>
      <c r="B417" s="1130"/>
      <c r="C417" s="1133"/>
      <c r="D417" s="1340"/>
      <c r="E417" s="968"/>
      <c r="F417" s="798">
        <f t="shared" si="59"/>
        <v>0</v>
      </c>
      <c r="G417" s="1155">
        <f t="shared" si="62"/>
        <v>0</v>
      </c>
      <c r="H417" s="635">
        <f t="shared" si="60"/>
        <v>0</v>
      </c>
      <c r="I417" s="1344">
        <f t="shared" si="63"/>
        <v>0</v>
      </c>
      <c r="J417" s="968"/>
      <c r="K417" s="798">
        <f t="shared" si="61"/>
        <v>0</v>
      </c>
    </row>
    <row r="418" spans="1:13">
      <c r="A418" s="1050" t="s">
        <v>28</v>
      </c>
      <c r="B418" s="1130"/>
      <c r="C418" s="1133"/>
      <c r="D418" s="1340"/>
      <c r="E418" s="968"/>
      <c r="F418" s="798">
        <f t="shared" si="59"/>
        <v>0</v>
      </c>
      <c r="G418" s="1155">
        <f t="shared" si="62"/>
        <v>0</v>
      </c>
      <c r="H418" s="635">
        <f t="shared" si="60"/>
        <v>0</v>
      </c>
      <c r="I418" s="1344">
        <f t="shared" si="63"/>
        <v>0</v>
      </c>
      <c r="J418" s="968"/>
      <c r="K418" s="798">
        <f t="shared" si="61"/>
        <v>0</v>
      </c>
    </row>
    <row r="419" spans="1:13">
      <c r="A419" s="1254" t="s">
        <v>253</v>
      </c>
      <c r="B419" s="1130"/>
      <c r="C419" s="1133"/>
      <c r="D419" s="1340"/>
      <c r="E419" s="968"/>
      <c r="F419" s="798">
        <f t="shared" si="59"/>
        <v>0</v>
      </c>
      <c r="G419" s="1155">
        <f t="shared" si="62"/>
        <v>0</v>
      </c>
      <c r="H419" s="635">
        <f t="shared" si="60"/>
        <v>0</v>
      </c>
      <c r="I419" s="1344">
        <f t="shared" si="63"/>
        <v>0</v>
      </c>
      <c r="J419" s="968"/>
      <c r="K419" s="798">
        <f t="shared" si="61"/>
        <v>0</v>
      </c>
    </row>
    <row r="420" spans="1:13">
      <c r="A420" s="1050" t="s">
        <v>30</v>
      </c>
      <c r="B420" s="1130"/>
      <c r="C420" s="1133"/>
      <c r="D420" s="1340"/>
      <c r="E420" s="968"/>
      <c r="F420" s="798">
        <f t="shared" si="59"/>
        <v>0</v>
      </c>
      <c r="G420" s="1155">
        <f t="shared" si="62"/>
        <v>0</v>
      </c>
      <c r="H420" s="635">
        <f t="shared" si="60"/>
        <v>0</v>
      </c>
      <c r="I420" s="1344">
        <f t="shared" si="63"/>
        <v>0</v>
      </c>
      <c r="J420" s="968"/>
      <c r="K420" s="798">
        <f t="shared" si="61"/>
        <v>0</v>
      </c>
    </row>
    <row r="421" spans="1:13">
      <c r="A421" s="1058" t="s">
        <v>31</v>
      </c>
      <c r="B421" s="1130"/>
      <c r="C421" s="1133"/>
      <c r="D421" s="1340"/>
      <c r="E421" s="968"/>
      <c r="F421" s="798">
        <f t="shared" si="59"/>
        <v>0</v>
      </c>
      <c r="G421" s="1155">
        <f t="shared" si="62"/>
        <v>0</v>
      </c>
      <c r="H421" s="635">
        <f t="shared" si="60"/>
        <v>0</v>
      </c>
      <c r="I421" s="1344">
        <f t="shared" si="63"/>
        <v>0</v>
      </c>
      <c r="J421" s="968"/>
      <c r="K421" s="798">
        <f t="shared" si="61"/>
        <v>0</v>
      </c>
    </row>
    <row r="422" spans="1:13">
      <c r="A422" s="1050" t="s">
        <v>32</v>
      </c>
      <c r="B422" s="1130"/>
      <c r="C422" s="1133"/>
      <c r="D422" s="1340"/>
      <c r="E422" s="968"/>
      <c r="F422" s="798">
        <f t="shared" si="59"/>
        <v>0</v>
      </c>
      <c r="G422" s="1155">
        <f t="shared" si="62"/>
        <v>0</v>
      </c>
      <c r="H422" s="635">
        <f t="shared" si="60"/>
        <v>0</v>
      </c>
      <c r="I422" s="1344">
        <f t="shared" si="63"/>
        <v>0</v>
      </c>
      <c r="J422" s="968"/>
      <c r="K422" s="798">
        <f t="shared" si="61"/>
        <v>0</v>
      </c>
    </row>
    <row r="423" spans="1:13">
      <c r="A423" s="1050" t="s">
        <v>33</v>
      </c>
      <c r="B423" s="1130"/>
      <c r="C423" s="1133"/>
      <c r="D423" s="1340"/>
      <c r="E423" s="968"/>
      <c r="F423" s="798">
        <f t="shared" si="59"/>
        <v>0</v>
      </c>
      <c r="G423" s="1155">
        <f t="shared" si="62"/>
        <v>0</v>
      </c>
      <c r="H423" s="635">
        <f t="shared" si="60"/>
        <v>0</v>
      </c>
      <c r="I423" s="1344">
        <f t="shared" si="63"/>
        <v>0</v>
      </c>
      <c r="J423" s="968"/>
      <c r="K423" s="798">
        <f t="shared" si="61"/>
        <v>0</v>
      </c>
    </row>
    <row r="424" spans="1:13">
      <c r="A424" s="1050" t="s">
        <v>34</v>
      </c>
      <c r="B424" s="1130"/>
      <c r="C424" s="1133"/>
      <c r="D424" s="1340"/>
      <c r="E424" s="968"/>
      <c r="F424" s="798">
        <f t="shared" si="59"/>
        <v>0</v>
      </c>
      <c r="G424" s="1155">
        <f t="shared" si="62"/>
        <v>0</v>
      </c>
      <c r="H424" s="635">
        <f t="shared" si="60"/>
        <v>0</v>
      </c>
      <c r="I424" s="1344">
        <f t="shared" si="63"/>
        <v>0</v>
      </c>
      <c r="J424" s="968"/>
      <c r="K424" s="798">
        <f t="shared" si="61"/>
        <v>0</v>
      </c>
    </row>
    <row r="425" spans="1:13">
      <c r="A425" s="1050" t="s">
        <v>35</v>
      </c>
      <c r="B425" s="1130"/>
      <c r="C425" s="1133"/>
      <c r="D425" s="1340"/>
      <c r="E425" s="968"/>
      <c r="F425" s="798">
        <f t="shared" si="59"/>
        <v>0</v>
      </c>
      <c r="G425" s="1155">
        <f t="shared" si="62"/>
        <v>0</v>
      </c>
      <c r="H425" s="635">
        <f t="shared" si="60"/>
        <v>0</v>
      </c>
      <c r="I425" s="1344">
        <f t="shared" si="63"/>
        <v>0</v>
      </c>
      <c r="J425" s="968"/>
      <c r="K425" s="798">
        <f t="shared" si="61"/>
        <v>0</v>
      </c>
    </row>
    <row r="426" spans="1:13">
      <c r="A426" s="1050" t="s">
        <v>245</v>
      </c>
      <c r="B426" s="1130"/>
      <c r="C426" s="1133"/>
      <c r="D426" s="1340"/>
      <c r="E426" s="968"/>
      <c r="F426" s="798">
        <f t="shared" si="59"/>
        <v>0</v>
      </c>
      <c r="G426" s="1155">
        <f t="shared" si="62"/>
        <v>0</v>
      </c>
      <c r="H426" s="635">
        <f t="shared" si="60"/>
        <v>0</v>
      </c>
      <c r="I426" s="1344">
        <f t="shared" si="63"/>
        <v>0</v>
      </c>
      <c r="J426" s="968"/>
      <c r="K426" s="798">
        <f t="shared" si="61"/>
        <v>0</v>
      </c>
    </row>
    <row r="427" spans="1:13">
      <c r="A427" s="1050" t="s">
        <v>246</v>
      </c>
      <c r="B427" s="1130"/>
      <c r="C427" s="1133"/>
      <c r="D427" s="1340"/>
      <c r="E427" s="968"/>
      <c r="F427" s="798">
        <f t="shared" si="59"/>
        <v>0</v>
      </c>
      <c r="G427" s="1155">
        <f t="shared" si="62"/>
        <v>0</v>
      </c>
      <c r="H427" s="635">
        <f t="shared" si="60"/>
        <v>0</v>
      </c>
      <c r="I427" s="1344">
        <f t="shared" si="63"/>
        <v>0</v>
      </c>
      <c r="J427" s="968"/>
      <c r="K427" s="798">
        <f t="shared" si="61"/>
        <v>0</v>
      </c>
    </row>
    <row r="428" spans="1:13" ht="12.75" customHeight="1">
      <c r="A428" s="1050" t="s">
        <v>247</v>
      </c>
      <c r="B428" s="1130"/>
      <c r="C428" s="1133"/>
      <c r="D428" s="1340"/>
      <c r="E428" s="968"/>
      <c r="F428" s="798">
        <f t="shared" si="59"/>
        <v>0</v>
      </c>
      <c r="G428" s="1155">
        <f t="shared" si="62"/>
        <v>0</v>
      </c>
      <c r="H428" s="635">
        <f t="shared" si="60"/>
        <v>0</v>
      </c>
      <c r="I428" s="1344">
        <f t="shared" si="63"/>
        <v>0</v>
      </c>
      <c r="J428" s="968"/>
      <c r="K428" s="798">
        <f t="shared" si="61"/>
        <v>0</v>
      </c>
      <c r="M428" s="515">
        <v>0</v>
      </c>
    </row>
    <row r="429" spans="1:13" ht="12.75" customHeight="1">
      <c r="A429" s="1050" t="s">
        <v>21</v>
      </c>
      <c r="B429" s="1130"/>
      <c r="C429" s="1133"/>
      <c r="D429" s="1340"/>
      <c r="E429" s="968"/>
      <c r="F429" s="798">
        <f t="shared" si="59"/>
        <v>0</v>
      </c>
      <c r="G429" s="1155">
        <f t="shared" si="62"/>
        <v>0</v>
      </c>
      <c r="H429" s="635">
        <f t="shared" si="60"/>
        <v>0</v>
      </c>
      <c r="I429" s="1344">
        <f t="shared" si="63"/>
        <v>0</v>
      </c>
      <c r="J429" s="968"/>
      <c r="K429" s="798">
        <f t="shared" si="61"/>
        <v>0</v>
      </c>
    </row>
    <row r="430" spans="1:13" ht="12.75" customHeight="1">
      <c r="A430" s="1050" t="s">
        <v>272</v>
      </c>
      <c r="B430" s="1130"/>
      <c r="C430" s="1133"/>
      <c r="D430" s="1340"/>
      <c r="E430" s="968"/>
      <c r="F430" s="798">
        <f t="shared" si="59"/>
        <v>0</v>
      </c>
      <c r="G430" s="1155">
        <f t="shared" si="62"/>
        <v>0</v>
      </c>
      <c r="H430" s="635">
        <f t="shared" si="60"/>
        <v>0</v>
      </c>
      <c r="I430" s="1344">
        <f t="shared" si="63"/>
        <v>0</v>
      </c>
      <c r="J430" s="968"/>
      <c r="K430" s="798">
        <f t="shared" si="61"/>
        <v>0</v>
      </c>
    </row>
    <row r="431" spans="1:13" ht="13.5" customHeight="1" thickBot="1">
      <c r="A431" s="624"/>
      <c r="B431" s="1131"/>
      <c r="C431" s="1134"/>
      <c r="D431" s="1342"/>
      <c r="E431" s="1192"/>
      <c r="F431" s="808">
        <f t="shared" si="59"/>
        <v>0</v>
      </c>
      <c r="G431" s="1155">
        <f t="shared" si="62"/>
        <v>0</v>
      </c>
      <c r="H431" s="635">
        <f t="shared" si="60"/>
        <v>0</v>
      </c>
      <c r="I431" s="1344">
        <f t="shared" si="63"/>
        <v>0</v>
      </c>
      <c r="J431" s="1192"/>
      <c r="K431" s="798">
        <f t="shared" si="61"/>
        <v>0</v>
      </c>
      <c r="M431" s="515">
        <v>0</v>
      </c>
    </row>
    <row r="432" spans="1:13" ht="16.5" customHeight="1" thickBot="1">
      <c r="A432" s="1005" t="s">
        <v>255</v>
      </c>
      <c r="B432" s="782">
        <f>SUM(B412:B431)</f>
        <v>0</v>
      </c>
      <c r="C432" s="1006" t="s">
        <v>110</v>
      </c>
      <c r="D432" s="988" t="s">
        <v>257</v>
      </c>
      <c r="E432" s="970"/>
      <c r="F432" s="800">
        <f>SUM(F412:F431)</f>
        <v>0</v>
      </c>
      <c r="G432" s="782">
        <f>SUM(G412:G431)</f>
        <v>0</v>
      </c>
      <c r="H432" s="1006" t="str">
        <f>C432</f>
        <v>-----------</v>
      </c>
      <c r="I432" s="988" t="str">
        <f>D432</f>
        <v>-------------------</v>
      </c>
      <c r="J432" s="970"/>
      <c r="K432" s="800">
        <f>SUM(K412:K431)</f>
        <v>0</v>
      </c>
    </row>
    <row r="433" spans="1:13">
      <c r="A433" s="768"/>
      <c r="B433" s="767"/>
      <c r="C433" s="767"/>
      <c r="D433" s="767"/>
      <c r="E433" s="767"/>
      <c r="F433" s="843" t="s">
        <v>1249</v>
      </c>
      <c r="G433" s="1406" t="e">
        <f>XONNOM &amp; " " &amp; XONPRE &amp; ", " &amp; TEXT(XONCP,"@@@@") &amp; " " &amp; XONLOC</f>
        <v>#VALUE!</v>
      </c>
      <c r="H433" s="1406"/>
      <c r="I433" s="1406"/>
      <c r="J433" s="1406"/>
      <c r="K433" s="1406"/>
    </row>
    <row r="434" spans="1:13" s="516" customFormat="1">
      <c r="A434" s="928"/>
      <c r="B434" s="927"/>
      <c r="C434" s="927"/>
      <c r="D434" s="927"/>
      <c r="E434" s="927"/>
      <c r="F434" s="1007" t="s">
        <v>68</v>
      </c>
      <c r="G434" s="1439">
        <f>J6</f>
        <v>0</v>
      </c>
      <c r="H434" s="1439"/>
      <c r="I434" s="1008"/>
      <c r="J434" s="1008"/>
      <c r="K434" s="927"/>
    </row>
    <row r="435" spans="1:13" s="516" customFormat="1">
      <c r="A435" s="926" t="s">
        <v>1256</v>
      </c>
      <c r="B435" s="927"/>
      <c r="C435" s="927"/>
      <c r="D435" s="927"/>
      <c r="E435" s="927"/>
      <c r="F435" s="927"/>
      <c r="G435" s="927"/>
      <c r="H435" s="928"/>
      <c r="I435" s="927"/>
      <c r="J435" s="927"/>
      <c r="K435" s="927"/>
    </row>
    <row r="436" spans="1:13">
      <c r="A436" s="768"/>
      <c r="B436" s="767"/>
      <c r="C436" s="767"/>
      <c r="D436" s="767"/>
      <c r="E436" s="767"/>
      <c r="F436" s="767"/>
      <c r="G436" s="767"/>
      <c r="H436" s="768"/>
      <c r="I436" s="767"/>
      <c r="J436" s="767"/>
      <c r="K436" s="767"/>
    </row>
    <row r="437" spans="1:13">
      <c r="A437" s="983" t="s">
        <v>1259</v>
      </c>
      <c r="B437" s="767"/>
      <c r="C437" s="767"/>
      <c r="D437" s="767"/>
      <c r="E437" s="767"/>
      <c r="F437" s="767"/>
      <c r="G437" s="767"/>
      <c r="H437" s="768"/>
      <c r="I437" s="767"/>
      <c r="J437" s="767"/>
      <c r="K437" s="767"/>
    </row>
    <row r="438" spans="1:13" ht="12" thickBot="1">
      <c r="A438" s="768"/>
      <c r="B438" s="767"/>
      <c r="C438" s="767"/>
      <c r="D438" s="767"/>
      <c r="E438" s="767"/>
      <c r="F438" s="767"/>
      <c r="G438" s="767"/>
      <c r="H438" s="768"/>
      <c r="I438" s="767"/>
      <c r="J438" s="767"/>
      <c r="K438" s="767"/>
    </row>
    <row r="439" spans="1:13" ht="12" thickBot="1">
      <c r="A439" s="995"/>
      <c r="B439" s="905" t="s">
        <v>82</v>
      </c>
      <c r="C439" s="906"/>
      <c r="D439" s="906"/>
      <c r="E439" s="906"/>
      <c r="F439" s="907"/>
      <c r="G439" s="905" t="s">
        <v>83</v>
      </c>
      <c r="H439" s="908"/>
      <c r="I439" s="906"/>
      <c r="J439" s="906"/>
      <c r="K439" s="907"/>
    </row>
    <row r="440" spans="1:13">
      <c r="A440" s="949" t="s">
        <v>258</v>
      </c>
      <c r="B440" s="950" t="s">
        <v>230</v>
      </c>
      <c r="C440" s="951"/>
      <c r="D440" s="984" t="s">
        <v>87</v>
      </c>
      <c r="E440" s="951"/>
      <c r="F440" s="985" t="s">
        <v>232</v>
      </c>
      <c r="G440" s="950" t="s">
        <v>230</v>
      </c>
      <c r="H440" s="955"/>
      <c r="I440" s="984" t="s">
        <v>87</v>
      </c>
      <c r="J440" s="951"/>
      <c r="K440" s="985" t="s">
        <v>232</v>
      </c>
    </row>
    <row r="441" spans="1:13" ht="12" thickBot="1">
      <c r="A441" s="973"/>
      <c r="B441" s="956" t="s">
        <v>233</v>
      </c>
      <c r="C441" s="957"/>
      <c r="D441" s="986" t="s">
        <v>1174</v>
      </c>
      <c r="E441" s="957"/>
      <c r="F441" s="881" t="s">
        <v>1175</v>
      </c>
      <c r="G441" s="956" t="s">
        <v>233</v>
      </c>
      <c r="H441" s="960"/>
      <c r="I441" s="986" t="s">
        <v>1174</v>
      </c>
      <c r="J441" s="957"/>
      <c r="K441" s="881" t="s">
        <v>1175</v>
      </c>
    </row>
    <row r="442" spans="1:13">
      <c r="A442" s="558" t="s">
        <v>273</v>
      </c>
      <c r="B442" s="1122"/>
      <c r="C442" s="1376"/>
      <c r="D442" s="1339">
        <v>0</v>
      </c>
      <c r="E442" s="963"/>
      <c r="F442" s="807">
        <f>B442*D442</f>
        <v>0</v>
      </c>
      <c r="G442" s="1154">
        <f t="shared" ref="G442:G448" si="64">B442</f>
        <v>0</v>
      </c>
      <c r="H442" s="1378"/>
      <c r="I442" s="1343">
        <f>D442</f>
        <v>0</v>
      </c>
      <c r="J442" s="963"/>
      <c r="K442" s="807">
        <f>G442*I442</f>
        <v>0</v>
      </c>
    </row>
    <row r="443" spans="1:13">
      <c r="A443" s="572" t="s">
        <v>274</v>
      </c>
      <c r="B443" s="1122"/>
      <c r="C443" s="1191"/>
      <c r="D443" s="1340">
        <v>0</v>
      </c>
      <c r="E443" s="968"/>
      <c r="F443" s="798">
        <f>B443*D443</f>
        <v>0</v>
      </c>
      <c r="G443" s="1154">
        <f t="shared" si="64"/>
        <v>0</v>
      </c>
      <c r="H443" s="991"/>
      <c r="I443" s="1344">
        <f>D443</f>
        <v>0</v>
      </c>
      <c r="J443" s="968"/>
      <c r="K443" s="798">
        <f>G443*I443</f>
        <v>0</v>
      </c>
    </row>
    <row r="444" spans="1:13">
      <c r="A444" s="572" t="s">
        <v>275</v>
      </c>
      <c r="B444" s="1122"/>
      <c r="C444" s="1191"/>
      <c r="D444" s="1340">
        <v>0</v>
      </c>
      <c r="E444" s="968"/>
      <c r="F444" s="798">
        <f>B444*D444</f>
        <v>0</v>
      </c>
      <c r="G444" s="1154">
        <f t="shared" si="64"/>
        <v>0</v>
      </c>
      <c r="H444" s="991"/>
      <c r="I444" s="1344">
        <f>D444</f>
        <v>0</v>
      </c>
      <c r="J444" s="968"/>
      <c r="K444" s="798">
        <f>G444*I444</f>
        <v>0</v>
      </c>
    </row>
    <row r="445" spans="1:13">
      <c r="A445" s="572" t="s">
        <v>276</v>
      </c>
      <c r="B445" s="1122"/>
      <c r="C445" s="1191"/>
      <c r="D445" s="1340">
        <v>0</v>
      </c>
      <c r="E445" s="968"/>
      <c r="F445" s="798">
        <f>B445*D445</f>
        <v>0</v>
      </c>
      <c r="G445" s="1154">
        <f t="shared" si="64"/>
        <v>0</v>
      </c>
      <c r="H445" s="991"/>
      <c r="I445" s="1344">
        <f>D445</f>
        <v>0</v>
      </c>
      <c r="J445" s="968"/>
      <c r="K445" s="798">
        <f>G445*I445</f>
        <v>0</v>
      </c>
    </row>
    <row r="446" spans="1:13">
      <c r="A446" s="572" t="s">
        <v>277</v>
      </c>
      <c r="B446" s="1122"/>
      <c r="C446" s="1191"/>
      <c r="D446" s="1340">
        <v>0</v>
      </c>
      <c r="E446" s="968"/>
      <c r="F446" s="798">
        <f>B446*D446</f>
        <v>0</v>
      </c>
      <c r="G446" s="1154">
        <f t="shared" si="64"/>
        <v>0</v>
      </c>
      <c r="H446" s="991"/>
      <c r="I446" s="1344">
        <f>D446</f>
        <v>0</v>
      </c>
      <c r="J446" s="968"/>
      <c r="K446" s="798">
        <f>G446*I446</f>
        <v>0</v>
      </c>
      <c r="M446" s="636"/>
    </row>
    <row r="447" spans="1:13">
      <c r="A447" s="572" t="s">
        <v>278</v>
      </c>
      <c r="B447" s="1122"/>
      <c r="C447" s="1191"/>
      <c r="D447" s="1377" t="s">
        <v>257</v>
      </c>
      <c r="E447" s="968"/>
      <c r="F447" s="1380" t="s">
        <v>136</v>
      </c>
      <c r="G447" s="1154">
        <f t="shared" si="64"/>
        <v>0</v>
      </c>
      <c r="H447" s="991"/>
      <c r="I447" s="1377" t="s">
        <v>257</v>
      </c>
      <c r="J447" s="968"/>
      <c r="K447" s="1380" t="s">
        <v>136</v>
      </c>
    </row>
    <row r="448" spans="1:13" ht="12" thickBot="1">
      <c r="A448" s="619" t="s">
        <v>279</v>
      </c>
      <c r="B448" s="1122"/>
      <c r="C448" s="1066"/>
      <c r="D448" s="1067" t="s">
        <v>257</v>
      </c>
      <c r="E448" s="1192"/>
      <c r="F448" s="1381" t="s">
        <v>136</v>
      </c>
      <c r="G448" s="1154">
        <f t="shared" si="64"/>
        <v>0</v>
      </c>
      <c r="H448" s="1379"/>
      <c r="I448" s="1067" t="s">
        <v>257</v>
      </c>
      <c r="J448" s="1192"/>
      <c r="K448" s="1381" t="s">
        <v>136</v>
      </c>
    </row>
    <row r="449" spans="1:11" ht="16.5" customHeight="1" thickBot="1">
      <c r="A449" s="923" t="s">
        <v>255</v>
      </c>
      <c r="B449" s="810" t="s">
        <v>257</v>
      </c>
      <c r="C449" s="970"/>
      <c r="D449" s="988" t="s">
        <v>257</v>
      </c>
      <c r="E449" s="970"/>
      <c r="F449" s="800">
        <f>SUM(F442:F448)</f>
        <v>0</v>
      </c>
      <c r="G449" s="810" t="s">
        <v>257</v>
      </c>
      <c r="H449" s="996"/>
      <c r="I449" s="988" t="s">
        <v>257</v>
      </c>
      <c r="J449" s="970"/>
      <c r="K449" s="800">
        <f>SUM(K442:K448)</f>
        <v>0</v>
      </c>
    </row>
    <row r="450" spans="1:11" ht="12" thickBot="1">
      <c r="A450" s="768" t="s">
        <v>280</v>
      </c>
      <c r="B450" s="783">
        <f>SUM(B443:B445)+6.5*B442+(B446+B448)/2.5</f>
        <v>0</v>
      </c>
      <c r="C450" s="767"/>
      <c r="D450" s="767"/>
      <c r="E450" s="767"/>
      <c r="F450" s="767"/>
      <c r="G450" s="783">
        <f>SUM(G443:G445)+6.5*G442+(G446+G448)/2.5</f>
        <v>0</v>
      </c>
      <c r="H450" s="768"/>
      <c r="I450" s="767"/>
      <c r="J450" s="767"/>
      <c r="K450" s="767"/>
    </row>
    <row r="451" spans="1:11">
      <c r="A451" s="768"/>
      <c r="B451" s="915"/>
      <c r="C451" s="767"/>
      <c r="D451" s="767"/>
      <c r="E451" s="767"/>
      <c r="F451" s="767"/>
      <c r="G451" s="915"/>
      <c r="H451" s="768"/>
      <c r="I451" s="767"/>
      <c r="J451" s="767"/>
      <c r="K451" s="767"/>
    </row>
    <row r="452" spans="1:11">
      <c r="A452" s="768"/>
      <c r="B452" s="767"/>
      <c r="C452" s="767"/>
      <c r="D452" s="767"/>
      <c r="E452" s="767"/>
      <c r="F452" s="767"/>
      <c r="G452" s="767"/>
      <c r="H452" s="768"/>
      <c r="I452" s="767"/>
      <c r="J452" s="767"/>
      <c r="K452" s="767"/>
    </row>
    <row r="453" spans="1:11">
      <c r="A453" s="983" t="s">
        <v>1260</v>
      </c>
      <c r="B453" s="767"/>
      <c r="C453" s="767"/>
      <c r="D453" s="767"/>
      <c r="E453" s="767"/>
      <c r="F453" s="767"/>
      <c r="G453" s="767"/>
      <c r="H453" s="768"/>
      <c r="I453" s="767"/>
      <c r="J453" s="767"/>
      <c r="K453" s="767"/>
    </row>
    <row r="454" spans="1:11" ht="12" thickBot="1">
      <c r="A454" s="768"/>
      <c r="B454" s="767"/>
      <c r="C454" s="767"/>
      <c r="D454" s="767"/>
      <c r="E454" s="767"/>
      <c r="F454" s="767"/>
      <c r="G454" s="767"/>
      <c r="H454" s="768"/>
      <c r="I454" s="767"/>
      <c r="J454" s="767"/>
      <c r="K454" s="767"/>
    </row>
    <row r="455" spans="1:11" ht="12" thickBot="1">
      <c r="A455" s="995"/>
      <c r="B455" s="905" t="s">
        <v>82</v>
      </c>
      <c r="C455" s="906"/>
      <c r="D455" s="906"/>
      <c r="E455" s="906"/>
      <c r="F455" s="907"/>
      <c r="G455" s="905" t="s">
        <v>83</v>
      </c>
      <c r="H455" s="908"/>
      <c r="I455" s="906"/>
      <c r="J455" s="906"/>
      <c r="K455" s="907"/>
    </row>
    <row r="456" spans="1:11">
      <c r="A456" s="949" t="s">
        <v>258</v>
      </c>
      <c r="B456" s="950" t="s">
        <v>281</v>
      </c>
      <c r="C456" s="951"/>
      <c r="D456" s="984" t="s">
        <v>87</v>
      </c>
      <c r="E456" s="951"/>
      <c r="F456" s="985" t="s">
        <v>251</v>
      </c>
      <c r="G456" s="950" t="s">
        <v>281</v>
      </c>
      <c r="H456" s="955"/>
      <c r="I456" s="984" t="s">
        <v>87</v>
      </c>
      <c r="J456" s="951"/>
      <c r="K456" s="985" t="s">
        <v>251</v>
      </c>
    </row>
    <row r="457" spans="1:11" ht="12" thickBot="1">
      <c r="A457" s="973"/>
      <c r="B457" s="956"/>
      <c r="C457" s="957"/>
      <c r="D457" s="986" t="s">
        <v>1174</v>
      </c>
      <c r="E457" s="957"/>
      <c r="F457" s="881" t="s">
        <v>1176</v>
      </c>
      <c r="G457" s="956"/>
      <c r="H457" s="960"/>
      <c r="I457" s="986" t="s">
        <v>1174</v>
      </c>
      <c r="J457" s="957"/>
      <c r="K457" s="881" t="s">
        <v>1176</v>
      </c>
    </row>
    <row r="458" spans="1:11">
      <c r="A458" s="558" t="s">
        <v>273</v>
      </c>
      <c r="B458" s="1122"/>
      <c r="C458" s="963"/>
      <c r="D458" s="1339"/>
      <c r="E458" s="963"/>
      <c r="F458" s="807">
        <f>B458*D458</f>
        <v>0</v>
      </c>
      <c r="G458" s="1154">
        <f>B458</f>
        <v>0</v>
      </c>
      <c r="H458" s="963"/>
      <c r="I458" s="1343">
        <f>D458</f>
        <v>0</v>
      </c>
      <c r="J458" s="963"/>
      <c r="K458" s="807">
        <f>G458*I458</f>
        <v>0</v>
      </c>
    </row>
    <row r="459" spans="1:11">
      <c r="A459" s="572" t="s">
        <v>274</v>
      </c>
      <c r="B459" s="1122">
        <v>0</v>
      </c>
      <c r="C459" s="968"/>
      <c r="D459" s="1340">
        <v>0</v>
      </c>
      <c r="E459" s="968"/>
      <c r="F459" s="798">
        <f>B459*D459</f>
        <v>0</v>
      </c>
      <c r="G459" s="1154">
        <f>B459</f>
        <v>0</v>
      </c>
      <c r="H459" s="968"/>
      <c r="I459" s="1344">
        <f>D459</f>
        <v>0</v>
      </c>
      <c r="J459" s="968"/>
      <c r="K459" s="798">
        <f>G459*I459</f>
        <v>0</v>
      </c>
    </row>
    <row r="460" spans="1:11">
      <c r="A460" s="572" t="s">
        <v>276</v>
      </c>
      <c r="B460" s="1122">
        <v>0</v>
      </c>
      <c r="C460" s="968"/>
      <c r="D460" s="1340">
        <v>0</v>
      </c>
      <c r="E460" s="968"/>
      <c r="F460" s="798">
        <f>B460*D460</f>
        <v>0</v>
      </c>
      <c r="G460" s="1154">
        <f>B460</f>
        <v>0</v>
      </c>
      <c r="H460" s="968"/>
      <c r="I460" s="1344">
        <f>D460</f>
        <v>0</v>
      </c>
      <c r="J460" s="968"/>
      <c r="K460" s="798">
        <f>G460*I460</f>
        <v>0</v>
      </c>
    </row>
    <row r="461" spans="1:11">
      <c r="A461" s="572" t="s">
        <v>278</v>
      </c>
      <c r="B461" s="1122">
        <v>0</v>
      </c>
      <c r="C461" s="968"/>
      <c r="D461" s="1340">
        <v>0</v>
      </c>
      <c r="E461" s="968"/>
      <c r="F461" s="798">
        <f>B461*D461</f>
        <v>0</v>
      </c>
      <c r="G461" s="1154">
        <f>B461</f>
        <v>0</v>
      </c>
      <c r="H461" s="968"/>
      <c r="I461" s="1344">
        <f>D461</f>
        <v>0</v>
      </c>
      <c r="J461" s="968"/>
      <c r="K461" s="798">
        <f>G461*I461</f>
        <v>0</v>
      </c>
    </row>
    <row r="462" spans="1:11" ht="12" thickBot="1">
      <c r="A462" s="572" t="s">
        <v>277</v>
      </c>
      <c r="B462" s="1122">
        <v>0</v>
      </c>
      <c r="C462" s="1192"/>
      <c r="D462" s="1342">
        <v>0</v>
      </c>
      <c r="E462" s="1192"/>
      <c r="F462" s="808">
        <f>B462*D462</f>
        <v>0</v>
      </c>
      <c r="G462" s="1154">
        <f>B462</f>
        <v>0</v>
      </c>
      <c r="H462" s="1192"/>
      <c r="I462" s="1345">
        <f>D462</f>
        <v>0</v>
      </c>
      <c r="J462" s="1192"/>
      <c r="K462" s="808">
        <f>G462*I462</f>
        <v>0</v>
      </c>
    </row>
    <row r="463" spans="1:11" ht="16.5" customHeight="1" thickBot="1">
      <c r="A463" s="923" t="s">
        <v>128</v>
      </c>
      <c r="B463" s="1382">
        <f>SUM(B458:B462)</f>
        <v>0</v>
      </c>
      <c r="C463" s="970"/>
      <c r="D463" s="988" t="s">
        <v>257</v>
      </c>
      <c r="E463" s="970"/>
      <c r="F463" s="800">
        <f>SUM(F458:F462)</f>
        <v>0</v>
      </c>
      <c r="G463" s="1382">
        <f>SUM(G458:G462)</f>
        <v>0</v>
      </c>
      <c r="H463" s="970"/>
      <c r="I463" s="988" t="s">
        <v>257</v>
      </c>
      <c r="J463" s="970"/>
      <c r="K463" s="800">
        <f>SUM(K458:K462)</f>
        <v>0</v>
      </c>
    </row>
    <row r="464" spans="1:11">
      <c r="A464" s="768"/>
      <c r="B464" s="767"/>
      <c r="C464" s="767"/>
      <c r="D464" s="767"/>
      <c r="E464" s="767"/>
      <c r="F464" s="767"/>
      <c r="G464" s="767"/>
      <c r="H464" s="768"/>
      <c r="I464" s="767"/>
      <c r="J464" s="767"/>
      <c r="K464" s="767"/>
    </row>
    <row r="465" spans="1:11">
      <c r="A465" s="768" t="s">
        <v>282</v>
      </c>
      <c r="B465" s="767"/>
      <c r="C465" s="767"/>
      <c r="D465" s="767"/>
      <c r="E465" s="767"/>
      <c r="F465" s="767"/>
      <c r="G465" s="767"/>
      <c r="H465" s="768"/>
      <c r="I465" s="767">
        <f>G442/25+(B443+B444+B445+B446+B448)/77</f>
        <v>0</v>
      </c>
      <c r="J465" s="767"/>
      <c r="K465" s="767"/>
    </row>
    <row r="466" spans="1:11">
      <c r="A466" s="768"/>
      <c r="B466" s="767"/>
      <c r="C466" s="767"/>
      <c r="D466" s="767"/>
      <c r="E466" s="767"/>
      <c r="F466" s="767"/>
      <c r="G466" s="767"/>
      <c r="H466" s="768"/>
      <c r="I466" s="767"/>
      <c r="J466" s="767"/>
      <c r="K466" s="767"/>
    </row>
    <row r="467" spans="1:11">
      <c r="A467" s="983" t="s">
        <v>1261</v>
      </c>
      <c r="B467" s="767"/>
      <c r="C467" s="767"/>
      <c r="D467" s="767"/>
      <c r="E467" s="767"/>
      <c r="F467" s="767"/>
      <c r="G467" s="767"/>
      <c r="H467" s="768"/>
      <c r="I467" s="767"/>
      <c r="J467" s="767"/>
      <c r="K467" s="767"/>
    </row>
    <row r="468" spans="1:11" ht="12" thickBot="1">
      <c r="A468" s="768"/>
      <c r="B468" s="767"/>
      <c r="C468" s="767"/>
      <c r="D468" s="767"/>
      <c r="E468" s="767"/>
      <c r="F468" s="767"/>
      <c r="G468" s="767"/>
      <c r="H468" s="768"/>
      <c r="I468" s="767"/>
      <c r="J468" s="767"/>
      <c r="K468" s="767"/>
    </row>
    <row r="469" spans="1:11" ht="12" thickBot="1">
      <c r="A469" s="995"/>
      <c r="B469" s="905" t="s">
        <v>82</v>
      </c>
      <c r="C469" s="906"/>
      <c r="D469" s="906"/>
      <c r="E469" s="906"/>
      <c r="F469" s="907"/>
      <c r="G469" s="905" t="s">
        <v>83</v>
      </c>
      <c r="H469" s="908"/>
      <c r="I469" s="906"/>
      <c r="J469" s="906"/>
      <c r="K469" s="907"/>
    </row>
    <row r="470" spans="1:11">
      <c r="A470" s="949" t="s">
        <v>258</v>
      </c>
      <c r="B470" s="998" t="s">
        <v>267</v>
      </c>
      <c r="C470" s="999" t="s">
        <v>268</v>
      </c>
      <c r="D470" s="984" t="s">
        <v>1182</v>
      </c>
      <c r="E470" s="951"/>
      <c r="F470" s="985" t="s">
        <v>269</v>
      </c>
      <c r="G470" s="998" t="s">
        <v>267</v>
      </c>
      <c r="H470" s="1000" t="s">
        <v>268</v>
      </c>
      <c r="I470" s="984" t="s">
        <v>1182</v>
      </c>
      <c r="J470" s="951"/>
      <c r="K470" s="985" t="s">
        <v>269</v>
      </c>
    </row>
    <row r="471" spans="1:11" ht="12" thickBot="1">
      <c r="A471" s="973"/>
      <c r="B471" s="1001" t="s">
        <v>270</v>
      </c>
      <c r="C471" s="1002" t="s">
        <v>234</v>
      </c>
      <c r="D471" s="1003" t="s">
        <v>1180</v>
      </c>
      <c r="E471" s="957"/>
      <c r="F471" s="881" t="s">
        <v>1176</v>
      </c>
      <c r="G471" s="1001" t="s">
        <v>270</v>
      </c>
      <c r="H471" s="1004" t="s">
        <v>234</v>
      </c>
      <c r="I471" s="1003" t="s">
        <v>1180</v>
      </c>
      <c r="J471" s="957"/>
      <c r="K471" s="881" t="s">
        <v>1176</v>
      </c>
    </row>
    <row r="472" spans="1:11">
      <c r="A472" s="558" t="s">
        <v>273</v>
      </c>
      <c r="B472" s="1130"/>
      <c r="C472" s="1132"/>
      <c r="D472" s="1339"/>
      <c r="E472" s="963"/>
      <c r="F472" s="1224">
        <f>B472*C472*D472</f>
        <v>0</v>
      </c>
      <c r="G472" s="1155"/>
      <c r="H472" s="1222">
        <f t="shared" ref="H472:I479" si="65">C472</f>
        <v>0</v>
      </c>
      <c r="I472" s="1343">
        <f t="shared" si="65"/>
        <v>0</v>
      </c>
      <c r="J472" s="963"/>
      <c r="K472" s="811">
        <f>G472*H472*I472</f>
        <v>0</v>
      </c>
    </row>
    <row r="473" spans="1:11">
      <c r="A473" s="572" t="s">
        <v>274</v>
      </c>
      <c r="B473" s="1130"/>
      <c r="C473" s="1133"/>
      <c r="D473" s="1340"/>
      <c r="E473" s="968"/>
      <c r="F473" s="1225">
        <f t="shared" ref="F473:F479" si="66">B473*C473*D473</f>
        <v>0</v>
      </c>
      <c r="G473" s="1155"/>
      <c r="H473" s="635">
        <f t="shared" si="65"/>
        <v>0</v>
      </c>
      <c r="I473" s="1344">
        <f t="shared" si="65"/>
        <v>0</v>
      </c>
      <c r="J473" s="968"/>
      <c r="K473" s="812">
        <f t="shared" ref="K473:K479" si="67">G473*H473*I473</f>
        <v>0</v>
      </c>
    </row>
    <row r="474" spans="1:11">
      <c r="A474" s="572" t="s">
        <v>275</v>
      </c>
      <c r="B474" s="1130"/>
      <c r="C474" s="1133"/>
      <c r="D474" s="1340"/>
      <c r="E474" s="968"/>
      <c r="F474" s="1225">
        <f t="shared" si="66"/>
        <v>0</v>
      </c>
      <c r="G474" s="1155"/>
      <c r="H474" s="635">
        <f t="shared" si="65"/>
        <v>0</v>
      </c>
      <c r="I474" s="1344">
        <f t="shared" si="65"/>
        <v>0</v>
      </c>
      <c r="J474" s="968"/>
      <c r="K474" s="812">
        <f t="shared" si="67"/>
        <v>0</v>
      </c>
    </row>
    <row r="475" spans="1:11" ht="12.75" customHeight="1">
      <c r="A475" s="572" t="s">
        <v>276</v>
      </c>
      <c r="B475" s="1130"/>
      <c r="C475" s="1133"/>
      <c r="D475" s="1340"/>
      <c r="E475" s="968"/>
      <c r="F475" s="1225">
        <f t="shared" si="66"/>
        <v>0</v>
      </c>
      <c r="G475" s="1155"/>
      <c r="H475" s="635">
        <f t="shared" si="65"/>
        <v>0</v>
      </c>
      <c r="I475" s="1344">
        <f t="shared" si="65"/>
        <v>0</v>
      </c>
      <c r="J475" s="968"/>
      <c r="K475" s="812">
        <f t="shared" si="67"/>
        <v>0</v>
      </c>
    </row>
    <row r="476" spans="1:11">
      <c r="A476" s="572" t="s">
        <v>283</v>
      </c>
      <c r="B476" s="1130"/>
      <c r="C476" s="1133"/>
      <c r="D476" s="1340"/>
      <c r="E476" s="968"/>
      <c r="F476" s="1225">
        <f t="shared" si="66"/>
        <v>0</v>
      </c>
      <c r="G476" s="1155"/>
      <c r="H476" s="635">
        <f t="shared" si="65"/>
        <v>0</v>
      </c>
      <c r="I476" s="1344">
        <f t="shared" si="65"/>
        <v>0</v>
      </c>
      <c r="J476" s="968"/>
      <c r="K476" s="812">
        <f t="shared" si="67"/>
        <v>0</v>
      </c>
    </row>
    <row r="477" spans="1:11">
      <c r="A477" s="572" t="s">
        <v>278</v>
      </c>
      <c r="B477" s="1130"/>
      <c r="C477" s="1133"/>
      <c r="D477" s="1340"/>
      <c r="E477" s="968"/>
      <c r="F477" s="1226">
        <f t="shared" si="66"/>
        <v>0</v>
      </c>
      <c r="G477" s="1155"/>
      <c r="H477" s="635">
        <f t="shared" si="65"/>
        <v>0</v>
      </c>
      <c r="I477" s="1344">
        <f t="shared" si="65"/>
        <v>0</v>
      </c>
      <c r="J477" s="968"/>
      <c r="K477" s="812">
        <f t="shared" si="67"/>
        <v>0</v>
      </c>
    </row>
    <row r="478" spans="1:11">
      <c r="A478" s="572" t="s">
        <v>284</v>
      </c>
      <c r="B478" s="1130"/>
      <c r="C478" s="1133"/>
      <c r="D478" s="1340"/>
      <c r="E478" s="968"/>
      <c r="F478" s="1226">
        <f t="shared" si="66"/>
        <v>0</v>
      </c>
      <c r="G478" s="1155"/>
      <c r="H478" s="635">
        <f t="shared" si="65"/>
        <v>0</v>
      </c>
      <c r="I478" s="1344">
        <f t="shared" si="65"/>
        <v>0</v>
      </c>
      <c r="J478" s="968"/>
      <c r="K478" s="812">
        <f t="shared" si="67"/>
        <v>0</v>
      </c>
    </row>
    <row r="479" spans="1:11" ht="12" thickBot="1">
      <c r="A479" s="624" t="s">
        <v>272</v>
      </c>
      <c r="B479" s="1130"/>
      <c r="C479" s="1134"/>
      <c r="D479" s="1340"/>
      <c r="E479" s="968"/>
      <c r="F479" s="1226">
        <f t="shared" si="66"/>
        <v>0</v>
      </c>
      <c r="G479" s="1155"/>
      <c r="H479" s="1223">
        <f t="shared" si="65"/>
        <v>0</v>
      </c>
      <c r="I479" s="1344">
        <f t="shared" si="65"/>
        <v>0</v>
      </c>
      <c r="J479" s="968"/>
      <c r="K479" s="812">
        <f t="shared" si="67"/>
        <v>0</v>
      </c>
    </row>
    <row r="480" spans="1:11" ht="16.5" customHeight="1" thickBot="1">
      <c r="A480" s="1010"/>
      <c r="B480" s="784">
        <f>SUM(B472:B479)</f>
        <v>0</v>
      </c>
      <c r="C480" s="977"/>
      <c r="D480" s="977"/>
      <c r="E480" s="1009"/>
      <c r="F480" s="813">
        <f>SUM(F472:F479)</f>
        <v>0</v>
      </c>
      <c r="G480" s="784">
        <f>SUM(G472:G479)</f>
        <v>0</v>
      </c>
      <c r="H480" s="977"/>
      <c r="I480" s="977"/>
      <c r="J480" s="1009"/>
      <c r="K480" s="846">
        <f>SUM(K472:K479)</f>
        <v>0</v>
      </c>
    </row>
    <row r="481" spans="1:11">
      <c r="A481" s="768"/>
      <c r="B481" s="767"/>
      <c r="C481" s="767"/>
      <c r="D481" s="767"/>
      <c r="E481" s="767"/>
      <c r="F481" s="843" t="s">
        <v>1249</v>
      </c>
      <c r="G481" s="1406" t="e">
        <f>XONNOM &amp; " " &amp; XONPRE &amp; ", " &amp; TEXT(XONCP,"@@@@") &amp; " " &amp; XONLOC</f>
        <v>#VALUE!</v>
      </c>
      <c r="H481" s="1406"/>
      <c r="I481" s="1406"/>
      <c r="J481" s="1406"/>
      <c r="K481" s="1406"/>
    </row>
    <row r="482" spans="1:11">
      <c r="A482" s="768"/>
      <c r="B482" s="767"/>
      <c r="C482" s="767"/>
      <c r="D482" s="767"/>
      <c r="E482" s="767"/>
      <c r="F482" s="843" t="s">
        <v>68</v>
      </c>
      <c r="G482" s="1411">
        <f>J6</f>
        <v>0</v>
      </c>
      <c r="H482" s="1411"/>
      <c r="I482" s="1411"/>
      <c r="J482" s="903"/>
      <c r="K482" s="767"/>
    </row>
    <row r="483" spans="1:11">
      <c r="A483" s="863" t="s">
        <v>1262</v>
      </c>
      <c r="B483" s="767"/>
      <c r="C483" s="767"/>
      <c r="D483" s="767"/>
      <c r="E483" s="767"/>
      <c r="F483" s="767"/>
      <c r="G483" s="767"/>
      <c r="H483" s="768"/>
      <c r="I483" s="767"/>
      <c r="J483" s="767"/>
      <c r="K483" s="767"/>
    </row>
    <row r="484" spans="1:11">
      <c r="A484" s="768"/>
      <c r="B484" s="1011" t="s">
        <v>285</v>
      </c>
      <c r="C484" s="1011"/>
      <c r="D484" s="767"/>
      <c r="E484" s="767"/>
      <c r="F484" s="767"/>
      <c r="G484" s="767"/>
      <c r="H484" s="768"/>
      <c r="I484" s="767"/>
      <c r="J484" s="767"/>
      <c r="K484" s="767"/>
    </row>
    <row r="485" spans="1:11">
      <c r="A485" s="993" t="s">
        <v>1263</v>
      </c>
      <c r="B485" s="767"/>
      <c r="C485" s="767"/>
      <c r="D485" s="767"/>
      <c r="E485" s="767"/>
      <c r="F485" s="767"/>
      <c r="G485" s="767"/>
      <c r="H485" s="768"/>
      <c r="I485" s="767"/>
      <c r="J485" s="767"/>
      <c r="K485" s="767"/>
    </row>
    <row r="486" spans="1:11" ht="12" thickBot="1">
      <c r="A486" s="768"/>
      <c r="B486" s="767"/>
      <c r="C486" s="767"/>
      <c r="D486" s="767"/>
      <c r="E486" s="767"/>
      <c r="F486" s="767"/>
      <c r="G486" s="767"/>
      <c r="H486" s="768"/>
      <c r="I486" s="767"/>
      <c r="J486" s="767"/>
      <c r="K486" s="767"/>
    </row>
    <row r="487" spans="1:11" ht="12" thickBot="1">
      <c r="A487" s="995"/>
      <c r="B487" s="905" t="s">
        <v>82</v>
      </c>
      <c r="C487" s="906"/>
      <c r="D487" s="906"/>
      <c r="E487" s="906"/>
      <c r="F487" s="907"/>
      <c r="G487" s="905" t="s">
        <v>83</v>
      </c>
      <c r="H487" s="908"/>
      <c r="I487" s="906"/>
      <c r="J487" s="906"/>
      <c r="K487" s="907"/>
    </row>
    <row r="488" spans="1:11">
      <c r="A488" s="949" t="s">
        <v>258</v>
      </c>
      <c r="B488" s="950" t="s">
        <v>230</v>
      </c>
      <c r="C488" s="951"/>
      <c r="D488" s="984" t="s">
        <v>87</v>
      </c>
      <c r="E488" s="951"/>
      <c r="F488" s="985" t="s">
        <v>232</v>
      </c>
      <c r="G488" s="950" t="s">
        <v>230</v>
      </c>
      <c r="H488" s="955"/>
      <c r="I488" s="984" t="s">
        <v>87</v>
      </c>
      <c r="J488" s="951"/>
      <c r="K488" s="985" t="s">
        <v>232</v>
      </c>
    </row>
    <row r="489" spans="1:11" ht="12" thickBot="1">
      <c r="A489" s="973"/>
      <c r="B489" s="956" t="s">
        <v>233</v>
      </c>
      <c r="C489" s="957"/>
      <c r="D489" s="986" t="s">
        <v>1174</v>
      </c>
      <c r="E489" s="957"/>
      <c r="F489" s="881" t="s">
        <v>1175</v>
      </c>
      <c r="G489" s="956" t="s">
        <v>233</v>
      </c>
      <c r="H489" s="960"/>
      <c r="I489" s="986" t="s">
        <v>1174</v>
      </c>
      <c r="J489" s="957"/>
      <c r="K489" s="881" t="s">
        <v>1175</v>
      </c>
    </row>
    <row r="490" spans="1:11">
      <c r="A490" s="558" t="s">
        <v>286</v>
      </c>
      <c r="B490" s="1121"/>
      <c r="C490" s="963"/>
      <c r="D490" s="1125"/>
      <c r="E490" s="963"/>
      <c r="F490" s="807">
        <f>B490*D490</f>
        <v>0</v>
      </c>
      <c r="G490" s="1153"/>
      <c r="H490" s="1378"/>
      <c r="I490" s="626">
        <f t="shared" ref="I490:I495" si="68">D490</f>
        <v>0</v>
      </c>
      <c r="J490" s="963"/>
      <c r="K490" s="807">
        <f>G490*I490</f>
        <v>0</v>
      </c>
    </row>
    <row r="491" spans="1:11">
      <c r="A491" s="572" t="s">
        <v>287</v>
      </c>
      <c r="B491" s="1122"/>
      <c r="C491" s="968"/>
      <c r="D491" s="1126"/>
      <c r="E491" s="968"/>
      <c r="F491" s="798">
        <f>B491*D491</f>
        <v>0</v>
      </c>
      <c r="G491" s="1154"/>
      <c r="H491" s="991"/>
      <c r="I491" s="627">
        <f t="shared" si="68"/>
        <v>0</v>
      </c>
      <c r="J491" s="968"/>
      <c r="K491" s="798">
        <f>G491*I491</f>
        <v>0</v>
      </c>
    </row>
    <row r="492" spans="1:11">
      <c r="A492" s="572" t="s">
        <v>288</v>
      </c>
      <c r="B492" s="1122"/>
      <c r="C492" s="968"/>
      <c r="D492" s="1126"/>
      <c r="E492" s="968"/>
      <c r="F492" s="798">
        <f>B492*D492</f>
        <v>0</v>
      </c>
      <c r="G492" s="1154"/>
      <c r="H492" s="991"/>
      <c r="I492" s="627">
        <f t="shared" si="68"/>
        <v>0</v>
      </c>
      <c r="J492" s="968"/>
      <c r="K492" s="798">
        <f>G492*I492</f>
        <v>0</v>
      </c>
    </row>
    <row r="493" spans="1:11">
      <c r="A493" s="572" t="s">
        <v>289</v>
      </c>
      <c r="B493" s="1122"/>
      <c r="C493" s="968"/>
      <c r="D493" s="1135"/>
      <c r="E493" s="968"/>
      <c r="F493" s="798">
        <f>B493*D493</f>
        <v>0</v>
      </c>
      <c r="G493" s="1154"/>
      <c r="H493" s="991"/>
      <c r="I493" s="641">
        <f t="shared" si="68"/>
        <v>0</v>
      </c>
      <c r="J493" s="968"/>
      <c r="K493" s="798">
        <f>G493*I493</f>
        <v>0</v>
      </c>
    </row>
    <row r="494" spans="1:11" ht="12" thickBot="1">
      <c r="A494" s="624" t="s">
        <v>290</v>
      </c>
      <c r="B494" s="1123"/>
      <c r="C494" s="1192"/>
      <c r="D494" s="634" t="s">
        <v>291</v>
      </c>
      <c r="E494" s="1192"/>
      <c r="F494" s="640" t="s">
        <v>136</v>
      </c>
      <c r="G494" s="1157"/>
      <c r="H494" s="1379"/>
      <c r="I494" s="639" t="str">
        <f t="shared" si="68"/>
        <v>---------------------</v>
      </c>
      <c r="J494" s="1192"/>
      <c r="K494" s="640" t="s">
        <v>136</v>
      </c>
    </row>
    <row r="495" spans="1:11" ht="16.5" customHeight="1" thickBot="1">
      <c r="A495" s="1012" t="s">
        <v>292</v>
      </c>
      <c r="B495" s="781">
        <f>SUM(B490:B494)</f>
        <v>0</v>
      </c>
      <c r="C495" s="970"/>
      <c r="D495" s="988" t="s">
        <v>293</v>
      </c>
      <c r="E495" s="970"/>
      <c r="F495" s="800">
        <f>SUM(F490:F494)</f>
        <v>0</v>
      </c>
      <c r="G495" s="781">
        <f>SUM(G490:G494)</f>
        <v>0</v>
      </c>
      <c r="H495" s="996"/>
      <c r="I495" s="1013" t="str">
        <f t="shared" si="68"/>
        <v>----------------</v>
      </c>
      <c r="J495" s="970"/>
      <c r="K495" s="800">
        <f>SUM(K490:K494)</f>
        <v>0</v>
      </c>
    </row>
    <row r="496" spans="1:11">
      <c r="A496" s="768"/>
      <c r="B496" s="767"/>
      <c r="C496" s="767"/>
      <c r="D496" s="767"/>
      <c r="E496" s="767"/>
      <c r="F496" s="767"/>
      <c r="G496" s="767"/>
      <c r="H496" s="768"/>
      <c r="I496" s="767"/>
      <c r="J496" s="767"/>
      <c r="K496" s="767"/>
    </row>
    <row r="497" spans="1:11">
      <c r="A497" s="983" t="s">
        <v>1264</v>
      </c>
      <c r="B497" s="767"/>
      <c r="C497" s="767"/>
      <c r="D497" s="767"/>
      <c r="E497" s="767"/>
      <c r="F497" s="767"/>
      <c r="G497" s="767"/>
      <c r="H497" s="768"/>
      <c r="I497" s="767"/>
      <c r="J497" s="767"/>
      <c r="K497" s="767"/>
    </row>
    <row r="498" spans="1:11" ht="12" thickBot="1">
      <c r="A498" s="768"/>
      <c r="B498" s="767"/>
      <c r="C498" s="767"/>
      <c r="D498" s="767"/>
      <c r="E498" s="767"/>
      <c r="F498" s="767"/>
      <c r="G498" s="767"/>
      <c r="H498" s="768"/>
      <c r="I498" s="767"/>
      <c r="J498" s="767"/>
      <c r="K498" s="767"/>
    </row>
    <row r="499" spans="1:11" ht="12" thickBot="1">
      <c r="A499" s="995"/>
      <c r="B499" s="905" t="s">
        <v>82</v>
      </c>
      <c r="C499" s="906"/>
      <c r="D499" s="906"/>
      <c r="E499" s="906"/>
      <c r="F499" s="907"/>
      <c r="G499" s="905" t="s">
        <v>83</v>
      </c>
      <c r="H499" s="908"/>
      <c r="I499" s="906"/>
      <c r="J499" s="906"/>
      <c r="K499" s="907"/>
    </row>
    <row r="500" spans="1:11" ht="12" thickBot="1">
      <c r="A500" s="949" t="s">
        <v>258</v>
      </c>
      <c r="B500" s="950" t="s">
        <v>281</v>
      </c>
      <c r="C500" s="951"/>
      <c r="D500" s="984" t="s">
        <v>1182</v>
      </c>
      <c r="E500" s="951"/>
      <c r="F500" s="985" t="s">
        <v>1183</v>
      </c>
      <c r="G500" s="950" t="s">
        <v>281</v>
      </c>
      <c r="H500" s="955"/>
      <c r="I500" s="984" t="s">
        <v>1182</v>
      </c>
      <c r="J500" s="951"/>
      <c r="K500" s="985" t="s">
        <v>1183</v>
      </c>
    </row>
    <row r="501" spans="1:11">
      <c r="A501" s="558" t="s">
        <v>294</v>
      </c>
      <c r="B501" s="1121"/>
      <c r="C501" s="963"/>
      <c r="D501" s="1125">
        <v>0</v>
      </c>
      <c r="E501" s="963"/>
      <c r="F501" s="807">
        <f t="shared" ref="F501:F507" si="69">B501*D501</f>
        <v>0</v>
      </c>
      <c r="G501" s="1153"/>
      <c r="H501" s="963"/>
      <c r="I501" s="626">
        <f t="shared" ref="I501:I508" si="70">D501</f>
        <v>0</v>
      </c>
      <c r="J501" s="963"/>
      <c r="K501" s="807">
        <f t="shared" ref="K501:K506" si="71">G501*I501</f>
        <v>0</v>
      </c>
    </row>
    <row r="502" spans="1:11">
      <c r="A502" s="572" t="s">
        <v>295</v>
      </c>
      <c r="B502" s="1122"/>
      <c r="C502" s="968"/>
      <c r="D502" s="1126"/>
      <c r="E502" s="968"/>
      <c r="F502" s="798">
        <f t="shared" si="69"/>
        <v>0</v>
      </c>
      <c r="G502" s="1154"/>
      <c r="H502" s="968"/>
      <c r="I502" s="627">
        <f t="shared" si="70"/>
        <v>0</v>
      </c>
      <c r="J502" s="968"/>
      <c r="K502" s="798">
        <f t="shared" si="71"/>
        <v>0</v>
      </c>
    </row>
    <row r="503" spans="1:11" ht="12.75" customHeight="1">
      <c r="A503" s="572" t="s">
        <v>296</v>
      </c>
      <c r="B503" s="1122"/>
      <c r="C503" s="968"/>
      <c r="D503" s="1126"/>
      <c r="E503" s="968"/>
      <c r="F503" s="798">
        <f t="shared" si="69"/>
        <v>0</v>
      </c>
      <c r="G503" s="1154"/>
      <c r="H503" s="968"/>
      <c r="I503" s="627">
        <f t="shared" si="70"/>
        <v>0</v>
      </c>
      <c r="J503" s="968"/>
      <c r="K503" s="798">
        <f t="shared" si="71"/>
        <v>0</v>
      </c>
    </row>
    <row r="504" spans="1:11">
      <c r="A504" s="579" t="s">
        <v>297</v>
      </c>
      <c r="B504" s="1122"/>
      <c r="C504" s="968"/>
      <c r="D504" s="1126"/>
      <c r="E504" s="968"/>
      <c r="F504" s="798">
        <f t="shared" si="69"/>
        <v>0</v>
      </c>
      <c r="G504" s="1154"/>
      <c r="H504" s="968"/>
      <c r="I504" s="627">
        <f t="shared" si="70"/>
        <v>0</v>
      </c>
      <c r="J504" s="968"/>
      <c r="K504" s="798">
        <f t="shared" si="71"/>
        <v>0</v>
      </c>
    </row>
    <row r="505" spans="1:11">
      <c r="A505" s="572" t="s">
        <v>272</v>
      </c>
      <c r="B505" s="1122"/>
      <c r="C505" s="968"/>
      <c r="D505" s="1126"/>
      <c r="E505" s="968"/>
      <c r="F505" s="798">
        <f t="shared" si="69"/>
        <v>0</v>
      </c>
      <c r="G505" s="1154"/>
      <c r="H505" s="968"/>
      <c r="I505" s="627">
        <f t="shared" si="70"/>
        <v>0</v>
      </c>
      <c r="J505" s="968"/>
      <c r="K505" s="798">
        <f t="shared" si="71"/>
        <v>0</v>
      </c>
    </row>
    <row r="506" spans="1:11">
      <c r="A506" s="572" t="s">
        <v>298</v>
      </c>
      <c r="B506" s="1122"/>
      <c r="C506" s="968"/>
      <c r="D506" s="1126"/>
      <c r="E506" s="968"/>
      <c r="F506" s="798">
        <f t="shared" si="69"/>
        <v>0</v>
      </c>
      <c r="G506" s="1154"/>
      <c r="H506" s="968"/>
      <c r="I506" s="627">
        <f t="shared" si="70"/>
        <v>0</v>
      </c>
      <c r="J506" s="968"/>
      <c r="K506" s="798">
        <f t="shared" si="71"/>
        <v>0</v>
      </c>
    </row>
    <row r="507" spans="1:11" ht="12" thickBot="1">
      <c r="A507" s="624" t="s">
        <v>299</v>
      </c>
      <c r="B507" s="1122"/>
      <c r="C507" s="918" t="s">
        <v>159</v>
      </c>
      <c r="D507" s="1127"/>
      <c r="E507" s="918" t="s">
        <v>1181</v>
      </c>
      <c r="F507" s="798">
        <f t="shared" si="69"/>
        <v>0</v>
      </c>
      <c r="G507" s="1154"/>
      <c r="H507" s="918" t="s">
        <v>159</v>
      </c>
      <c r="I507" s="628"/>
      <c r="J507" s="918" t="s">
        <v>1181</v>
      </c>
      <c r="K507" s="28"/>
    </row>
    <row r="508" spans="1:11" ht="16.5" customHeight="1" thickBot="1">
      <c r="A508" s="1014" t="s">
        <v>292</v>
      </c>
      <c r="B508" s="810" t="s">
        <v>293</v>
      </c>
      <c r="C508" s="970"/>
      <c r="D508" s="988" t="s">
        <v>300</v>
      </c>
      <c r="E508" s="970"/>
      <c r="F508" s="800">
        <f>SUM(F501:F507)</f>
        <v>0</v>
      </c>
      <c r="G508" s="810" t="str">
        <f>B508</f>
        <v>----------------</v>
      </c>
      <c r="H508" s="970"/>
      <c r="I508" s="988" t="str">
        <f t="shared" si="70"/>
        <v>-----------------</v>
      </c>
      <c r="J508" s="970"/>
      <c r="K508" s="800">
        <f>SUM(K501:K507)</f>
        <v>0</v>
      </c>
    </row>
    <row r="509" spans="1:11">
      <c r="A509" s="768"/>
      <c r="B509" s="767"/>
      <c r="C509" s="767"/>
      <c r="D509" s="767"/>
      <c r="E509" s="767"/>
      <c r="F509" s="767"/>
      <c r="G509" s="767"/>
      <c r="H509" s="768"/>
      <c r="I509" s="767"/>
      <c r="J509" s="767"/>
      <c r="K509" s="767"/>
    </row>
    <row r="510" spans="1:11">
      <c r="A510" s="983" t="s">
        <v>1265</v>
      </c>
      <c r="B510" s="767"/>
      <c r="C510" s="767"/>
      <c r="D510" s="767"/>
      <c r="E510" s="767"/>
      <c r="F510" s="767"/>
      <c r="G510" s="767"/>
      <c r="H510" s="768"/>
      <c r="I510" s="767"/>
      <c r="J510" s="767"/>
      <c r="K510" s="767"/>
    </row>
    <row r="511" spans="1:11" ht="12" thickBot="1">
      <c r="A511" s="768"/>
      <c r="B511" s="767"/>
      <c r="C511" s="767"/>
      <c r="D511" s="767"/>
      <c r="E511" s="767"/>
      <c r="F511" s="767"/>
      <c r="G511" s="767"/>
      <c r="H511" s="768"/>
      <c r="I511" s="767"/>
      <c r="J511" s="767"/>
      <c r="K511" s="767"/>
    </row>
    <row r="512" spans="1:11" ht="12" thickBot="1">
      <c r="A512" s="995"/>
      <c r="B512" s="905" t="s">
        <v>82</v>
      </c>
      <c r="C512" s="906"/>
      <c r="D512" s="906"/>
      <c r="E512" s="906"/>
      <c r="F512" s="907"/>
      <c r="G512" s="905" t="s">
        <v>83</v>
      </c>
      <c r="H512" s="908"/>
      <c r="I512" s="906"/>
      <c r="J512" s="906"/>
      <c r="K512" s="907"/>
    </row>
    <row r="513" spans="1:11" ht="12" thickBot="1">
      <c r="A513" s="949" t="s">
        <v>258</v>
      </c>
      <c r="B513" s="905" t="s">
        <v>1184</v>
      </c>
      <c r="C513" s="1015"/>
      <c r="D513" s="951" t="s">
        <v>301</v>
      </c>
      <c r="E513" s="951"/>
      <c r="F513" s="1016"/>
      <c r="G513" s="905" t="s">
        <v>1184</v>
      </c>
      <c r="H513" s="1017"/>
      <c r="I513" s="951" t="s">
        <v>301</v>
      </c>
      <c r="J513" s="951"/>
      <c r="K513" s="1016"/>
    </row>
    <row r="514" spans="1:11">
      <c r="A514" s="558" t="s">
        <v>302</v>
      </c>
      <c r="B514" s="1113"/>
      <c r="C514" s="1383"/>
      <c r="D514" s="1136"/>
      <c r="E514" s="912"/>
      <c r="F514" s="913"/>
      <c r="G514" s="673"/>
      <c r="H514" s="1383"/>
      <c r="I514" s="1158"/>
      <c r="J514" s="912"/>
      <c r="K514" s="913"/>
    </row>
    <row r="515" spans="1:11">
      <c r="A515" s="572" t="s">
        <v>303</v>
      </c>
      <c r="B515" s="1113"/>
      <c r="C515" s="1384"/>
      <c r="D515" s="1112"/>
      <c r="E515" s="915"/>
      <c r="F515" s="916"/>
      <c r="G515" s="673"/>
      <c r="H515" s="1384"/>
      <c r="I515" s="586"/>
      <c r="J515" s="915"/>
      <c r="K515" s="916"/>
    </row>
    <row r="516" spans="1:11">
      <c r="A516" s="572" t="s">
        <v>304</v>
      </c>
      <c r="B516" s="1113"/>
      <c r="C516" s="1384"/>
      <c r="D516" s="1137" t="s">
        <v>305</v>
      </c>
      <c r="E516" s="915"/>
      <c r="F516" s="916"/>
      <c r="G516" s="673"/>
      <c r="H516" s="1384"/>
      <c r="I516" s="1159" t="s">
        <v>305</v>
      </c>
      <c r="J516" s="915"/>
      <c r="K516" s="916"/>
    </row>
    <row r="517" spans="1:11" ht="12" thickBot="1">
      <c r="A517" s="572" t="s">
        <v>306</v>
      </c>
      <c r="B517" s="1113"/>
      <c r="C517" s="1384"/>
      <c r="D517" s="1137" t="s">
        <v>307</v>
      </c>
      <c r="E517" s="915"/>
      <c r="F517" s="916"/>
      <c r="G517" s="673"/>
      <c r="H517" s="1384"/>
      <c r="I517" s="1159" t="s">
        <v>307</v>
      </c>
      <c r="J517" s="915"/>
      <c r="K517" s="916"/>
    </row>
    <row r="518" spans="1:11" ht="16.5" customHeight="1" thickBot="1">
      <c r="A518" s="1012" t="s">
        <v>292</v>
      </c>
      <c r="B518" s="785">
        <f>SUM(B514:B517)</f>
        <v>0</v>
      </c>
      <c r="C518" s="1018"/>
      <c r="D518" s="988" t="s">
        <v>300</v>
      </c>
      <c r="E518" s="970"/>
      <c r="F518" s="978"/>
      <c r="G518" s="785">
        <f>SUM(G514:G517)</f>
        <v>0</v>
      </c>
      <c r="H518" s="1018"/>
      <c r="I518" s="988" t="s">
        <v>300</v>
      </c>
      <c r="J518" s="970"/>
      <c r="K518" s="978"/>
    </row>
    <row r="519" spans="1:11" ht="16.5" customHeight="1">
      <c r="A519" s="1019"/>
      <c r="B519" s="968"/>
      <c r="C519" s="968"/>
      <c r="D519" s="915"/>
      <c r="E519" s="915"/>
      <c r="F519" s="915"/>
      <c r="G519" s="968"/>
      <c r="H519" s="991"/>
      <c r="I519" s="915"/>
      <c r="J519" s="915"/>
      <c r="K519" s="915"/>
    </row>
    <row r="520" spans="1:11" ht="16.5" customHeight="1">
      <c r="A520" s="1019"/>
      <c r="B520" s="1020" t="s">
        <v>308</v>
      </c>
      <c r="C520" s="1020"/>
      <c r="D520" s="915"/>
      <c r="E520" s="915"/>
      <c r="F520" s="915"/>
      <c r="G520" s="968"/>
      <c r="H520" s="991"/>
      <c r="I520" s="915"/>
      <c r="J520" s="915"/>
      <c r="K520" s="915"/>
    </row>
    <row r="521" spans="1:11" ht="16.5" customHeight="1">
      <c r="A521" s="1021" t="s">
        <v>1266</v>
      </c>
      <c r="B521" s="968"/>
      <c r="C521" s="968"/>
      <c r="D521" s="915"/>
      <c r="E521" s="915"/>
      <c r="F521" s="915"/>
      <c r="G521" s="968"/>
      <c r="H521" s="991"/>
      <c r="I521" s="915"/>
      <c r="J521" s="915"/>
      <c r="K521" s="915"/>
    </row>
    <row r="522" spans="1:11" ht="16.5" customHeight="1" thickBot="1">
      <c r="A522" s="1021"/>
      <c r="B522" s="968"/>
      <c r="C522" s="968"/>
      <c r="D522" s="915"/>
      <c r="E522" s="915"/>
      <c r="F522" s="915"/>
      <c r="G522" s="968"/>
      <c r="H522" s="991"/>
      <c r="I522" s="915"/>
      <c r="J522" s="915"/>
      <c r="K522" s="915"/>
    </row>
    <row r="523" spans="1:11" ht="16.5" customHeight="1" thickBot="1">
      <c r="A523" s="995"/>
      <c r="B523" s="905" t="s">
        <v>82</v>
      </c>
      <c r="C523" s="906"/>
      <c r="D523" s="906"/>
      <c r="E523" s="906"/>
      <c r="F523" s="907"/>
      <c r="G523" s="905" t="s">
        <v>83</v>
      </c>
      <c r="H523" s="908"/>
      <c r="I523" s="906"/>
      <c r="J523" s="906"/>
      <c r="K523" s="907"/>
    </row>
    <row r="524" spans="1:11" ht="16.5" customHeight="1">
      <c r="A524" s="949" t="s">
        <v>258</v>
      </c>
      <c r="B524" s="950" t="s">
        <v>230</v>
      </c>
      <c r="C524" s="951"/>
      <c r="D524" s="984" t="s">
        <v>87</v>
      </c>
      <c r="E524" s="951"/>
      <c r="F524" s="985" t="s">
        <v>232</v>
      </c>
      <c r="G524" s="950" t="s">
        <v>230</v>
      </c>
      <c r="H524" s="955"/>
      <c r="I524" s="984" t="s">
        <v>87</v>
      </c>
      <c r="J524" s="951"/>
      <c r="K524" s="985" t="s">
        <v>232</v>
      </c>
    </row>
    <row r="525" spans="1:11" ht="16.5" customHeight="1" thickBot="1">
      <c r="A525" s="973"/>
      <c r="B525" s="956" t="s">
        <v>233</v>
      </c>
      <c r="C525" s="957"/>
      <c r="D525" s="986" t="s">
        <v>1174</v>
      </c>
      <c r="E525" s="957"/>
      <c r="F525" s="881" t="s">
        <v>1175</v>
      </c>
      <c r="G525" s="956" t="s">
        <v>233</v>
      </c>
      <c r="H525" s="960"/>
      <c r="I525" s="986" t="s">
        <v>1174</v>
      </c>
      <c r="J525" s="957"/>
      <c r="K525" s="881" t="s">
        <v>1175</v>
      </c>
    </row>
    <row r="526" spans="1:11" ht="16.5" customHeight="1">
      <c r="A526" s="644" t="s">
        <v>309</v>
      </c>
      <c r="B526" s="1130"/>
      <c r="C526" s="963"/>
      <c r="D526" s="1125"/>
      <c r="E526" s="964"/>
      <c r="F526" s="645"/>
      <c r="G526" s="1155">
        <f>B526</f>
        <v>0</v>
      </c>
      <c r="H526" s="963"/>
      <c r="I526" s="626">
        <f>D526</f>
        <v>0</v>
      </c>
      <c r="J526" s="964"/>
      <c r="K526" s="645"/>
    </row>
    <row r="527" spans="1:11" ht="16.5" customHeight="1">
      <c r="A527" s="646" t="s">
        <v>310</v>
      </c>
      <c r="B527" s="1130"/>
      <c r="C527" s="968"/>
      <c r="D527" s="1126"/>
      <c r="E527" s="892"/>
      <c r="F527" s="29"/>
      <c r="G527" s="1155">
        <f>B527</f>
        <v>0</v>
      </c>
      <c r="H527" s="968"/>
      <c r="I527" s="627">
        <f>D527</f>
        <v>0</v>
      </c>
      <c r="J527" s="892"/>
      <c r="K527" s="29"/>
    </row>
    <row r="528" spans="1:11" ht="16.5" customHeight="1" thickBot="1">
      <c r="A528" s="647" t="s">
        <v>311</v>
      </c>
      <c r="B528" s="1130"/>
      <c r="C528" s="1192"/>
      <c r="D528" s="1127"/>
      <c r="E528" s="1385"/>
      <c r="F528" s="648"/>
      <c r="G528" s="1155">
        <f>B528</f>
        <v>0</v>
      </c>
      <c r="H528" s="1192"/>
      <c r="I528" s="628">
        <f>D528</f>
        <v>0</v>
      </c>
      <c r="J528" s="1385"/>
      <c r="K528" s="648"/>
    </row>
    <row r="529" spans="1:11" ht="16.5" customHeight="1" thickBot="1">
      <c r="A529" s="1022" t="s">
        <v>255</v>
      </c>
      <c r="B529" s="781">
        <f>SUM(B526:B528)</f>
        <v>0</v>
      </c>
      <c r="C529" s="970"/>
      <c r="D529" s="988" t="s">
        <v>300</v>
      </c>
      <c r="E529" s="970"/>
      <c r="F529" s="801">
        <f>SUM(F526:F528)</f>
        <v>0</v>
      </c>
      <c r="G529" s="781">
        <f>SUM(G526:G528)</f>
        <v>0</v>
      </c>
      <c r="H529" s="970"/>
      <c r="I529" s="988" t="s">
        <v>300</v>
      </c>
      <c r="J529" s="970"/>
      <c r="K529" s="801">
        <f>SUM(K526:K528)</f>
        <v>0</v>
      </c>
    </row>
    <row r="530" spans="1:11" ht="16.5" customHeight="1">
      <c r="A530" s="855"/>
      <c r="B530" s="968"/>
      <c r="C530" s="968"/>
      <c r="D530" s="915"/>
      <c r="E530" s="915"/>
      <c r="F530" s="915"/>
      <c r="G530" s="968"/>
      <c r="H530" s="991"/>
      <c r="I530" s="915"/>
      <c r="J530" s="915"/>
      <c r="K530" s="915"/>
    </row>
    <row r="531" spans="1:11" ht="16.5" customHeight="1">
      <c r="A531" s="1021" t="s">
        <v>1267</v>
      </c>
      <c r="B531" s="968"/>
      <c r="C531" s="968"/>
      <c r="D531" s="915"/>
      <c r="E531" s="915"/>
      <c r="F531" s="915"/>
      <c r="G531" s="968"/>
      <c r="H531" s="991"/>
      <c r="I531" s="915"/>
      <c r="J531" s="915"/>
      <c r="K531" s="915"/>
    </row>
    <row r="532" spans="1:11" ht="16.5" customHeight="1" thickBot="1">
      <c r="A532" s="1021"/>
      <c r="B532" s="968"/>
      <c r="C532" s="968"/>
      <c r="D532" s="915"/>
      <c r="E532" s="915"/>
      <c r="F532" s="915"/>
      <c r="G532" s="968"/>
      <c r="H532" s="991"/>
      <c r="I532" s="915"/>
      <c r="J532" s="915"/>
      <c r="K532" s="915"/>
    </row>
    <row r="533" spans="1:11" ht="16.5" customHeight="1" thickBot="1">
      <c r="A533" s="995"/>
      <c r="B533" s="905" t="s">
        <v>82</v>
      </c>
      <c r="C533" s="906"/>
      <c r="D533" s="906"/>
      <c r="E533" s="906"/>
      <c r="F533" s="907"/>
      <c r="G533" s="905" t="s">
        <v>83</v>
      </c>
      <c r="H533" s="908"/>
      <c r="I533" s="906"/>
      <c r="J533" s="906"/>
      <c r="K533" s="907"/>
    </row>
    <row r="534" spans="1:11" ht="16.5" customHeight="1" thickBot="1">
      <c r="A534" s="973" t="s">
        <v>258</v>
      </c>
      <c r="B534" s="905" t="s">
        <v>281</v>
      </c>
      <c r="C534" s="906"/>
      <c r="D534" s="974" t="s">
        <v>1182</v>
      </c>
      <c r="E534" s="906"/>
      <c r="F534" s="1023" t="s">
        <v>1183</v>
      </c>
      <c r="G534" s="905" t="s">
        <v>281</v>
      </c>
      <c r="H534" s="908"/>
      <c r="I534" s="974" t="s">
        <v>1182</v>
      </c>
      <c r="J534" s="906"/>
      <c r="K534" s="1023" t="s">
        <v>1183</v>
      </c>
    </row>
    <row r="535" spans="1:11" ht="16.5" customHeight="1">
      <c r="A535" s="646" t="s">
        <v>312</v>
      </c>
      <c r="B535" s="1130"/>
      <c r="C535" s="963"/>
      <c r="D535" s="1125"/>
      <c r="E535" s="964"/>
      <c r="F535" s="814">
        <f>B535*D535</f>
        <v>0</v>
      </c>
      <c r="G535" s="1155">
        <f>B535</f>
        <v>0</v>
      </c>
      <c r="H535" s="963"/>
      <c r="I535" s="626">
        <f>D535</f>
        <v>0</v>
      </c>
      <c r="J535" s="964"/>
      <c r="K535" s="814">
        <f>G535*I535</f>
        <v>0</v>
      </c>
    </row>
    <row r="536" spans="1:11" ht="16.5" customHeight="1">
      <c r="A536" s="646" t="s">
        <v>311</v>
      </c>
      <c r="B536" s="1130"/>
      <c r="C536" s="968"/>
      <c r="D536" s="1126"/>
      <c r="E536" s="892"/>
      <c r="F536" s="799">
        <f>B536*D536</f>
        <v>0</v>
      </c>
      <c r="G536" s="1155">
        <f>B536</f>
        <v>0</v>
      </c>
      <c r="H536" s="968"/>
      <c r="I536" s="627">
        <f>D536</f>
        <v>0</v>
      </c>
      <c r="J536" s="892"/>
      <c r="K536" s="799">
        <f>G536*I536</f>
        <v>0</v>
      </c>
    </row>
    <row r="537" spans="1:11" ht="16.5" customHeight="1" thickBot="1">
      <c r="A537" s="647" t="s">
        <v>313</v>
      </c>
      <c r="B537" s="1130"/>
      <c r="C537" s="1192"/>
      <c r="D537" s="1127"/>
      <c r="E537" s="1385"/>
      <c r="F537" s="815">
        <f>B537*D537</f>
        <v>0</v>
      </c>
      <c r="G537" s="1155">
        <f>B537</f>
        <v>0</v>
      </c>
      <c r="H537" s="1192"/>
      <c r="I537" s="628">
        <f>D537</f>
        <v>0</v>
      </c>
      <c r="J537" s="1385"/>
      <c r="K537" s="815">
        <f>G537*I537</f>
        <v>0</v>
      </c>
    </row>
    <row r="538" spans="1:11" ht="16.5" customHeight="1" thickBot="1">
      <c r="A538" s="1024" t="s">
        <v>255</v>
      </c>
      <c r="B538" s="790" t="s">
        <v>314</v>
      </c>
      <c r="C538" s="970"/>
      <c r="D538" s="977" t="s">
        <v>315</v>
      </c>
      <c r="E538" s="1025"/>
      <c r="F538" s="801">
        <f>SUM(F535:F537)</f>
        <v>0</v>
      </c>
      <c r="G538" s="970" t="s">
        <v>316</v>
      </c>
      <c r="H538" s="996"/>
      <c r="I538" s="977" t="s">
        <v>317</v>
      </c>
      <c r="J538" s="1025"/>
      <c r="K538" s="801">
        <f>SUM(K535:K537)</f>
        <v>0</v>
      </c>
    </row>
    <row r="539" spans="1:11" ht="16.5" customHeight="1">
      <c r="A539" s="855"/>
      <c r="B539" s="968"/>
      <c r="C539" s="968"/>
      <c r="D539" s="915"/>
      <c r="E539" s="915"/>
      <c r="F539" s="915"/>
      <c r="G539" s="968"/>
      <c r="H539" s="991"/>
      <c r="I539" s="915"/>
      <c r="J539" s="915"/>
      <c r="K539" s="915"/>
    </row>
    <row r="540" spans="1:11" ht="16.5" customHeight="1">
      <c r="A540" s="1021" t="s">
        <v>1268</v>
      </c>
      <c r="B540" s="968"/>
      <c r="C540" s="968"/>
      <c r="D540" s="915"/>
      <c r="E540" s="915"/>
      <c r="F540" s="915"/>
      <c r="G540" s="968"/>
      <c r="H540" s="991"/>
      <c r="I540" s="915"/>
      <c r="J540" s="915"/>
      <c r="K540" s="915"/>
    </row>
    <row r="541" spans="1:11" ht="16.5" customHeight="1" thickBot="1">
      <c r="A541" s="1021"/>
      <c r="B541" s="968"/>
      <c r="C541" s="968"/>
      <c r="D541" s="915"/>
      <c r="E541" s="915"/>
      <c r="F541" s="915"/>
      <c r="G541" s="968"/>
      <c r="H541" s="991"/>
      <c r="I541" s="915"/>
      <c r="J541" s="915"/>
      <c r="K541" s="915"/>
    </row>
    <row r="542" spans="1:11" ht="16.5" customHeight="1" thickBot="1">
      <c r="A542" s="995"/>
      <c r="B542" s="905" t="s">
        <v>82</v>
      </c>
      <c r="C542" s="906"/>
      <c r="D542" s="906"/>
      <c r="E542" s="906"/>
      <c r="F542" s="907"/>
      <c r="G542" s="905" t="s">
        <v>83</v>
      </c>
      <c r="H542" s="908"/>
      <c r="I542" s="906"/>
      <c r="J542" s="906"/>
      <c r="K542" s="907"/>
    </row>
    <row r="543" spans="1:11" ht="16.5" customHeight="1" thickBot="1">
      <c r="A543" s="949" t="s">
        <v>258</v>
      </c>
      <c r="B543" s="950" t="s">
        <v>1184</v>
      </c>
      <c r="C543" s="1015"/>
      <c r="D543" s="951" t="s">
        <v>301</v>
      </c>
      <c r="E543" s="951"/>
      <c r="F543" s="1016"/>
      <c r="G543" s="950" t="s">
        <v>1184</v>
      </c>
      <c r="H543" s="1017"/>
      <c r="I543" s="951" t="s">
        <v>301</v>
      </c>
      <c r="J543" s="951"/>
      <c r="K543" s="1016"/>
    </row>
    <row r="544" spans="1:11" ht="16.5" customHeight="1">
      <c r="A544" s="644" t="s">
        <v>318</v>
      </c>
      <c r="B544" s="1117"/>
      <c r="C544" s="1383"/>
      <c r="D544" s="1136"/>
      <c r="E544" s="559"/>
      <c r="F544" s="560"/>
      <c r="G544" s="672">
        <f>B544</f>
        <v>0</v>
      </c>
      <c r="H544" s="1383"/>
      <c r="I544" s="1158"/>
      <c r="J544" s="559"/>
      <c r="K544" s="560"/>
    </row>
    <row r="545" spans="1:11" ht="16.5" customHeight="1">
      <c r="A545" s="646" t="s">
        <v>319</v>
      </c>
      <c r="B545" s="1113"/>
      <c r="C545" s="1384"/>
      <c r="D545" s="1137"/>
      <c r="E545" s="27"/>
      <c r="F545" s="563"/>
      <c r="G545" s="673">
        <f>B545</f>
        <v>0</v>
      </c>
      <c r="H545" s="1384"/>
      <c r="I545" s="1159"/>
      <c r="J545" s="27"/>
      <c r="K545" s="563"/>
    </row>
    <row r="546" spans="1:11" ht="16.5" customHeight="1" thickBot="1">
      <c r="A546" s="647" t="s">
        <v>304</v>
      </c>
      <c r="B546" s="1114"/>
      <c r="C546" s="1386"/>
      <c r="D546" s="1138" t="s">
        <v>320</v>
      </c>
      <c r="E546" s="565"/>
      <c r="F546" s="566"/>
      <c r="G546" s="1149">
        <f>B546</f>
        <v>0</v>
      </c>
      <c r="H546" s="1386"/>
      <c r="I546" s="1160" t="s">
        <v>320</v>
      </c>
      <c r="J546" s="565"/>
      <c r="K546" s="566"/>
    </row>
    <row r="547" spans="1:11" ht="16.5" customHeight="1" thickBot="1">
      <c r="A547" s="1022" t="s">
        <v>255</v>
      </c>
      <c r="B547" s="785">
        <f>SUM(B544:B546)</f>
        <v>0</v>
      </c>
      <c r="C547" s="970"/>
      <c r="D547" s="977"/>
      <c r="E547" s="1009"/>
      <c r="F547" s="978"/>
      <c r="G547" s="785">
        <f>SUM(G544:G546)</f>
        <v>0</v>
      </c>
      <c r="H547" s="996"/>
      <c r="I547" s="977"/>
      <c r="J547" s="1009"/>
      <c r="K547" s="978"/>
    </row>
    <row r="548" spans="1:11">
      <c r="A548" s="863" t="s">
        <v>1269</v>
      </c>
      <c r="B548" s="767"/>
      <c r="C548" s="767"/>
      <c r="D548" s="767"/>
      <c r="E548" s="767"/>
      <c r="F548" s="843" t="s">
        <v>1249</v>
      </c>
      <c r="G548" s="1406" t="e">
        <f>XONNOM &amp; " " &amp; XONPRE &amp; ", " &amp; TEXT(XONCP,"@@@@") &amp; " " &amp; XONLOC</f>
        <v>#VALUE!</v>
      </c>
      <c r="H548" s="1406"/>
      <c r="I548" s="1406"/>
      <c r="J548" s="1406"/>
      <c r="K548" s="1406"/>
    </row>
    <row r="549" spans="1:11">
      <c r="A549" s="768"/>
      <c r="B549" s="767"/>
      <c r="C549" s="767"/>
      <c r="D549" s="767"/>
      <c r="E549" s="767"/>
      <c r="F549" s="843" t="s">
        <v>68</v>
      </c>
      <c r="G549" s="1411">
        <f>J6</f>
        <v>0</v>
      </c>
      <c r="H549" s="1411"/>
      <c r="I549" s="903"/>
      <c r="J549" s="903"/>
      <c r="K549" s="767"/>
    </row>
    <row r="550" spans="1:11">
      <c r="A550" s="983" t="s">
        <v>1270</v>
      </c>
      <c r="B550" s="767"/>
      <c r="C550" s="767"/>
      <c r="D550" s="767"/>
      <c r="E550" s="767"/>
      <c r="F550" s="767"/>
      <c r="G550" s="767"/>
      <c r="H550" s="768"/>
      <c r="I550" s="767"/>
      <c r="J550" s="767"/>
      <c r="K550" s="767"/>
    </row>
    <row r="551" spans="1:11" ht="12" thickBot="1">
      <c r="A551" s="768"/>
      <c r="B551" s="767"/>
      <c r="C551" s="767"/>
      <c r="D551" s="767"/>
      <c r="E551" s="767"/>
      <c r="F551" s="767"/>
      <c r="G551" s="767"/>
      <c r="H551" s="768"/>
      <c r="I551" s="767"/>
      <c r="J551" s="767"/>
      <c r="K551" s="767"/>
    </row>
    <row r="552" spans="1:11" ht="12" thickBot="1">
      <c r="A552" s="995"/>
      <c r="B552" s="905" t="s">
        <v>82</v>
      </c>
      <c r="C552" s="906"/>
      <c r="D552" s="906"/>
      <c r="E552" s="906"/>
      <c r="F552" s="907"/>
      <c r="G552" s="905" t="s">
        <v>83</v>
      </c>
      <c r="H552" s="908"/>
      <c r="I552" s="906"/>
      <c r="J552" s="906"/>
      <c r="K552" s="907"/>
    </row>
    <row r="553" spans="1:11">
      <c r="A553" s="949" t="s">
        <v>258</v>
      </c>
      <c r="B553" s="950" t="s">
        <v>230</v>
      </c>
      <c r="C553" s="951"/>
      <c r="D553" s="984" t="s">
        <v>87</v>
      </c>
      <c r="E553" s="951"/>
      <c r="F553" s="985" t="s">
        <v>232</v>
      </c>
      <c r="G553" s="950" t="s">
        <v>230</v>
      </c>
      <c r="H553" s="955"/>
      <c r="I553" s="984" t="s">
        <v>87</v>
      </c>
      <c r="J553" s="951"/>
      <c r="K553" s="985" t="s">
        <v>232</v>
      </c>
    </row>
    <row r="554" spans="1:11" ht="12" thickBot="1">
      <c r="A554" s="973"/>
      <c r="B554" s="956" t="s">
        <v>233</v>
      </c>
      <c r="C554" s="957"/>
      <c r="D554" s="986" t="s">
        <v>1174</v>
      </c>
      <c r="E554" s="957"/>
      <c r="F554" s="881" t="s">
        <v>1175</v>
      </c>
      <c r="G554" s="956" t="s">
        <v>233</v>
      </c>
      <c r="H554" s="960"/>
      <c r="I554" s="986" t="s">
        <v>1174</v>
      </c>
      <c r="J554" s="957"/>
      <c r="K554" s="881" t="s">
        <v>1175</v>
      </c>
    </row>
    <row r="555" spans="1:11">
      <c r="A555" s="631" t="s">
        <v>321</v>
      </c>
      <c r="B555" s="1129"/>
      <c r="C555" s="1387"/>
      <c r="D555" s="1125"/>
      <c r="E555" s="963"/>
      <c r="F555" s="807">
        <f>B555*D555</f>
        <v>0</v>
      </c>
      <c r="G555" s="1156"/>
      <c r="H555" s="963"/>
      <c r="I555" s="626">
        <f>D555</f>
        <v>0</v>
      </c>
      <c r="J555" s="963"/>
      <c r="K555" s="807">
        <f>G555*I555</f>
        <v>0</v>
      </c>
    </row>
    <row r="556" spans="1:11">
      <c r="A556" s="572" t="s">
        <v>322</v>
      </c>
      <c r="B556" s="1130"/>
      <c r="C556" s="884"/>
      <c r="D556" s="1126"/>
      <c r="E556" s="968"/>
      <c r="F556" s="798">
        <f>B556*D556</f>
        <v>0</v>
      </c>
      <c r="G556" s="1155"/>
      <c r="H556" s="968"/>
      <c r="I556" s="627">
        <f>D556</f>
        <v>0</v>
      </c>
      <c r="J556" s="968"/>
      <c r="K556" s="798">
        <f>G556*I556</f>
        <v>0</v>
      </c>
    </row>
    <row r="557" spans="1:11">
      <c r="A557" s="572" t="s">
        <v>323</v>
      </c>
      <c r="B557" s="1130"/>
      <c r="C557" s="884"/>
      <c r="D557" s="1126"/>
      <c r="E557" s="968"/>
      <c r="F557" s="798">
        <f>B557*D557</f>
        <v>0</v>
      </c>
      <c r="G557" s="1155"/>
      <c r="H557" s="968"/>
      <c r="I557" s="627">
        <f>D557</f>
        <v>0</v>
      </c>
      <c r="J557" s="968"/>
      <c r="K557" s="798">
        <f>G557*I557</f>
        <v>0</v>
      </c>
    </row>
    <row r="558" spans="1:11">
      <c r="A558" s="572" t="s">
        <v>324</v>
      </c>
      <c r="B558" s="1130"/>
      <c r="C558" s="884"/>
      <c r="D558" s="1126"/>
      <c r="E558" s="968"/>
      <c r="F558" s="798">
        <f>B558*D558</f>
        <v>0</v>
      </c>
      <c r="G558" s="1155"/>
      <c r="H558" s="968"/>
      <c r="I558" s="627">
        <f>D558</f>
        <v>0</v>
      </c>
      <c r="J558" s="968"/>
      <c r="K558" s="798">
        <f>G558*I558</f>
        <v>0</v>
      </c>
    </row>
    <row r="559" spans="1:11" ht="12" thickBot="1">
      <c r="A559" s="624" t="s">
        <v>325</v>
      </c>
      <c r="B559" s="1130"/>
      <c r="C559" s="1388"/>
      <c r="D559" s="1127"/>
      <c r="E559" s="1192"/>
      <c r="F559" s="808">
        <f>B559*D559</f>
        <v>0</v>
      </c>
      <c r="G559" s="1155"/>
      <c r="H559" s="1192"/>
      <c r="I559" s="628">
        <f>D559</f>
        <v>0</v>
      </c>
      <c r="J559" s="1192"/>
      <c r="K559" s="808">
        <f>G559*I559</f>
        <v>0</v>
      </c>
    </row>
    <row r="560" spans="1:11" ht="16.5" customHeight="1" thickBot="1">
      <c r="A560" s="923" t="s">
        <v>255</v>
      </c>
      <c r="B560" s="1414" t="s">
        <v>300</v>
      </c>
      <c r="C560" s="1415"/>
      <c r="D560" s="988" t="s">
        <v>291</v>
      </c>
      <c r="E560" s="970"/>
      <c r="F560" s="800">
        <f>SUM(F555:F559)</f>
        <v>0</v>
      </c>
      <c r="G560" s="1414" t="s">
        <v>291</v>
      </c>
      <c r="H560" s="1415"/>
      <c r="I560" s="988" t="s">
        <v>291</v>
      </c>
      <c r="J560" s="970"/>
      <c r="K560" s="800">
        <f>SUM(K555:K559)</f>
        <v>0</v>
      </c>
    </row>
    <row r="561" spans="1:11">
      <c r="A561" s="768"/>
      <c r="B561" s="767"/>
      <c r="C561" s="767"/>
      <c r="D561" s="767"/>
      <c r="E561" s="767"/>
      <c r="F561" s="767"/>
      <c r="G561" s="767"/>
      <c r="H561" s="768"/>
      <c r="I561" s="767"/>
      <c r="J561" s="767"/>
      <c r="K561" s="767"/>
    </row>
    <row r="562" spans="1:11">
      <c r="A562" s="983" t="s">
        <v>1271</v>
      </c>
      <c r="B562" s="767"/>
      <c r="C562" s="767"/>
      <c r="D562" s="767"/>
      <c r="E562" s="767"/>
      <c r="F562" s="767"/>
      <c r="G562" s="767"/>
      <c r="H562" s="768"/>
      <c r="I562" s="767"/>
      <c r="J562" s="767"/>
      <c r="K562" s="767"/>
    </row>
    <row r="563" spans="1:11" ht="12" thickBot="1">
      <c r="A563" s="768"/>
      <c r="B563" s="767"/>
      <c r="C563" s="767"/>
      <c r="D563" s="767"/>
      <c r="E563" s="767"/>
      <c r="F563" s="767"/>
      <c r="G563" s="767"/>
      <c r="H563" s="768"/>
      <c r="I563" s="767"/>
      <c r="J563" s="767"/>
      <c r="K563" s="767"/>
    </row>
    <row r="564" spans="1:11" ht="12" thickBot="1">
      <c r="A564" s="995"/>
      <c r="B564" s="905" t="s">
        <v>82</v>
      </c>
      <c r="C564" s="906"/>
      <c r="D564" s="906"/>
      <c r="E564" s="906"/>
      <c r="F564" s="907"/>
      <c r="G564" s="905" t="s">
        <v>83</v>
      </c>
      <c r="H564" s="908"/>
      <c r="I564" s="906"/>
      <c r="J564" s="906"/>
      <c r="K564" s="907"/>
    </row>
    <row r="565" spans="1:11" ht="12" thickBot="1">
      <c r="A565" s="973" t="s">
        <v>258</v>
      </c>
      <c r="B565" s="905" t="s">
        <v>281</v>
      </c>
      <c r="C565" s="906"/>
      <c r="D565" s="974" t="s">
        <v>1182</v>
      </c>
      <c r="E565" s="906"/>
      <c r="F565" s="1023" t="s">
        <v>1183</v>
      </c>
      <c r="G565" s="905" t="s">
        <v>281</v>
      </c>
      <c r="H565" s="908"/>
      <c r="I565" s="974" t="s">
        <v>1182</v>
      </c>
      <c r="J565" s="906"/>
      <c r="K565" s="1023" t="s">
        <v>1183</v>
      </c>
    </row>
    <row r="566" spans="1:11">
      <c r="A566" s="558" t="s">
        <v>326</v>
      </c>
      <c r="B566" s="1129"/>
      <c r="C566" s="963"/>
      <c r="D566" s="1125"/>
      <c r="E566" s="963"/>
      <c r="F566" s="807">
        <f>B566*D566</f>
        <v>0</v>
      </c>
      <c r="G566" s="1156"/>
      <c r="H566" s="963"/>
      <c r="I566" s="626">
        <f>D566</f>
        <v>0</v>
      </c>
      <c r="J566" s="963"/>
      <c r="K566" s="807">
        <f>G566*I566</f>
        <v>0</v>
      </c>
    </row>
    <row r="567" spans="1:11">
      <c r="A567" s="572" t="s">
        <v>322</v>
      </c>
      <c r="B567" s="1130"/>
      <c r="C567" s="968"/>
      <c r="D567" s="1126"/>
      <c r="E567" s="968"/>
      <c r="F567" s="798">
        <f>B567*D567</f>
        <v>0</v>
      </c>
      <c r="G567" s="1155"/>
      <c r="H567" s="968"/>
      <c r="I567" s="627">
        <f>D567</f>
        <v>0</v>
      </c>
      <c r="J567" s="968"/>
      <c r="K567" s="798">
        <f>G567*I567</f>
        <v>0</v>
      </c>
    </row>
    <row r="568" spans="1:11">
      <c r="A568" s="572" t="s">
        <v>327</v>
      </c>
      <c r="B568" s="1130"/>
      <c r="C568" s="968"/>
      <c r="D568" s="1126"/>
      <c r="E568" s="968"/>
      <c r="F568" s="798">
        <f>B568*D568</f>
        <v>0</v>
      </c>
      <c r="G568" s="1155"/>
      <c r="H568" s="968"/>
      <c r="I568" s="627">
        <f>D568</f>
        <v>0</v>
      </c>
      <c r="J568" s="968"/>
      <c r="K568" s="798">
        <f>G568*I568</f>
        <v>0</v>
      </c>
    </row>
    <row r="569" spans="1:11" ht="12" thickBot="1">
      <c r="A569" s="624" t="s">
        <v>328</v>
      </c>
      <c r="B569" s="1131"/>
      <c r="C569" s="1192"/>
      <c r="D569" s="1127"/>
      <c r="E569" s="1192"/>
      <c r="F569" s="808">
        <f>B569*D569</f>
        <v>0</v>
      </c>
      <c r="G569" s="1161"/>
      <c r="H569" s="1192"/>
      <c r="I569" s="628">
        <f>D569</f>
        <v>0</v>
      </c>
      <c r="J569" s="1192"/>
      <c r="K569" s="808">
        <f>G569*I569</f>
        <v>0</v>
      </c>
    </row>
    <row r="570" spans="1:11" ht="16.5" customHeight="1" thickBot="1">
      <c r="A570" s="1014" t="s">
        <v>292</v>
      </c>
      <c r="B570" s="810" t="s">
        <v>256</v>
      </c>
      <c r="C570" s="970"/>
      <c r="D570" s="988" t="s">
        <v>300</v>
      </c>
      <c r="E570" s="970"/>
      <c r="F570" s="800">
        <f>SUM(F566:F569)</f>
        <v>0</v>
      </c>
      <c r="G570" s="810" t="str">
        <f>B570</f>
        <v>------------------</v>
      </c>
      <c r="H570" s="970"/>
      <c r="I570" s="988" t="str">
        <f>D570</f>
        <v>-----------------</v>
      </c>
      <c r="J570" s="970"/>
      <c r="K570" s="800">
        <f>SUM(K566:K569)</f>
        <v>0</v>
      </c>
    </row>
    <row r="571" spans="1:11">
      <c r="A571" s="768"/>
      <c r="B571" s="767"/>
      <c r="C571" s="767"/>
      <c r="D571" s="767"/>
      <c r="E571" s="767"/>
      <c r="F571" s="767"/>
      <c r="G571" s="767"/>
      <c r="H571" s="768"/>
      <c r="I571" s="767"/>
      <c r="J571" s="767"/>
      <c r="K571" s="767"/>
    </row>
    <row r="572" spans="1:11">
      <c r="A572" s="983" t="s">
        <v>1272</v>
      </c>
      <c r="B572" s="767"/>
      <c r="C572" s="767"/>
      <c r="D572" s="767"/>
      <c r="E572" s="767"/>
      <c r="F572" s="767"/>
      <c r="G572" s="767"/>
      <c r="H572" s="768"/>
      <c r="I572" s="767"/>
      <c r="J572" s="767"/>
      <c r="K572" s="767"/>
    </row>
    <row r="573" spans="1:11" ht="12" thickBot="1">
      <c r="A573" s="768"/>
      <c r="B573" s="767"/>
      <c r="C573" s="767"/>
      <c r="D573" s="767"/>
      <c r="E573" s="767"/>
      <c r="F573" s="767"/>
      <c r="G573" s="767"/>
      <c r="H573" s="768"/>
      <c r="I573" s="767"/>
      <c r="J573" s="767"/>
      <c r="K573" s="767"/>
    </row>
    <row r="574" spans="1:11" ht="12" thickBot="1">
      <c r="A574" s="1026"/>
      <c r="B574" s="905" t="s">
        <v>82</v>
      </c>
      <c r="C574" s="906"/>
      <c r="D574" s="906"/>
      <c r="E574" s="906"/>
      <c r="F574" s="907"/>
      <c r="G574" s="905" t="s">
        <v>83</v>
      </c>
      <c r="H574" s="908"/>
      <c r="I574" s="906"/>
      <c r="J574" s="906"/>
      <c r="K574" s="907"/>
    </row>
    <row r="575" spans="1:11" ht="12" thickBot="1">
      <c r="A575" s="949" t="s">
        <v>258</v>
      </c>
      <c r="B575" s="905" t="s">
        <v>1184</v>
      </c>
      <c r="C575" s="906"/>
      <c r="D575" s="974" t="s">
        <v>301</v>
      </c>
      <c r="E575" s="906"/>
      <c r="F575" s="907"/>
      <c r="G575" s="905" t="s">
        <v>1184</v>
      </c>
      <c r="H575" s="955"/>
      <c r="I575" s="905" t="s">
        <v>301</v>
      </c>
      <c r="J575" s="906"/>
      <c r="K575" s="907"/>
    </row>
    <row r="576" spans="1:11">
      <c r="A576" s="558" t="s">
        <v>318</v>
      </c>
      <c r="B576" s="1117"/>
      <c r="C576" s="1383"/>
      <c r="D576" s="1136"/>
      <c r="E576" s="559"/>
      <c r="F576" s="27"/>
      <c r="G576" s="672"/>
      <c r="H576" s="1383"/>
      <c r="I576" s="586"/>
      <c r="J576" s="27"/>
      <c r="K576" s="563"/>
    </row>
    <row r="577" spans="1:11">
      <c r="A577" s="572" t="s">
        <v>303</v>
      </c>
      <c r="B577" s="721"/>
      <c r="C577" s="1384"/>
      <c r="D577" s="1137"/>
      <c r="E577" s="27"/>
      <c r="F577" s="27"/>
      <c r="G577" s="1162"/>
      <c r="H577" s="1384"/>
      <c r="I577" s="1159"/>
      <c r="J577" s="27"/>
      <c r="K577" s="563"/>
    </row>
    <row r="578" spans="1:11" ht="12" thickBot="1">
      <c r="A578" s="624" t="s">
        <v>329</v>
      </c>
      <c r="B578" s="1139"/>
      <c r="C578" s="1386"/>
      <c r="D578" s="1138" t="s">
        <v>330</v>
      </c>
      <c r="E578" s="565"/>
      <c r="F578" s="27"/>
      <c r="G578" s="1163"/>
      <c r="H578" s="1386"/>
      <c r="I578" s="1160" t="s">
        <v>330</v>
      </c>
      <c r="J578" s="565"/>
      <c r="K578" s="563"/>
    </row>
    <row r="579" spans="1:11" ht="16.5" customHeight="1" thickBot="1">
      <c r="A579" s="1014" t="s">
        <v>292</v>
      </c>
      <c r="B579" s="785">
        <f>SUM(B576:B578)</f>
        <v>0</v>
      </c>
      <c r="C579" s="970"/>
      <c r="D579" s="988" t="s">
        <v>331</v>
      </c>
      <c r="E579" s="970"/>
      <c r="F579" s="990"/>
      <c r="G579" s="785">
        <f>SUM(G576:G578)</f>
        <v>0</v>
      </c>
      <c r="H579" s="970"/>
      <c r="I579" s="988" t="str">
        <f>D579</f>
        <v>---------------------------</v>
      </c>
      <c r="J579" s="970"/>
      <c r="K579" s="990"/>
    </row>
    <row r="580" spans="1:11" ht="16.5" customHeight="1">
      <c r="A580" s="1027"/>
      <c r="B580" s="968"/>
      <c r="C580" s="968"/>
      <c r="D580" s="994"/>
      <c r="E580" s="968"/>
      <c r="F580" s="968"/>
      <c r="G580" s="968"/>
      <c r="H580" s="1028"/>
      <c r="I580" s="968"/>
      <c r="J580" s="968"/>
      <c r="K580" s="968"/>
    </row>
    <row r="581" spans="1:11">
      <c r="A581" s="863" t="s">
        <v>1273</v>
      </c>
      <c r="B581" s="767"/>
      <c r="C581" s="767"/>
      <c r="D581" s="767"/>
      <c r="E581" s="767"/>
      <c r="F581" s="767"/>
      <c r="G581" s="767"/>
      <c r="H581" s="768"/>
      <c r="I581" s="767"/>
      <c r="J581" s="767"/>
      <c r="K581" s="767"/>
    </row>
    <row r="582" spans="1:11">
      <c r="A582" s="768"/>
      <c r="B582" s="767"/>
      <c r="C582" s="767"/>
      <c r="D582" s="767"/>
      <c r="E582" s="767"/>
      <c r="F582" s="767"/>
      <c r="G582" s="767"/>
      <c r="H582" s="768"/>
      <c r="I582" s="767"/>
      <c r="J582" s="767"/>
      <c r="K582" s="767"/>
    </row>
    <row r="583" spans="1:11">
      <c r="A583" s="983" t="s">
        <v>1274</v>
      </c>
      <c r="B583" s="767"/>
      <c r="C583" s="767"/>
      <c r="D583" s="767"/>
      <c r="E583" s="767"/>
      <c r="F583" s="767"/>
      <c r="G583" s="767"/>
      <c r="H583" s="768"/>
      <c r="I583" s="767"/>
      <c r="J583" s="767"/>
      <c r="K583" s="767"/>
    </row>
    <row r="584" spans="1:11" ht="12" thickBot="1">
      <c r="A584" s="768"/>
      <c r="B584" s="767"/>
      <c r="C584" s="767"/>
      <c r="D584" s="767"/>
      <c r="E584" s="767"/>
      <c r="F584" s="767"/>
      <c r="G584" s="767"/>
      <c r="H584" s="768"/>
      <c r="I584" s="767"/>
      <c r="J584" s="767"/>
      <c r="K584" s="767"/>
    </row>
    <row r="585" spans="1:11" ht="12" thickBot="1">
      <c r="A585" s="995"/>
      <c r="B585" s="905" t="s">
        <v>82</v>
      </c>
      <c r="C585" s="906"/>
      <c r="D585" s="906"/>
      <c r="E585" s="906"/>
      <c r="F585" s="907"/>
      <c r="G585" s="905" t="s">
        <v>83</v>
      </c>
      <c r="H585" s="908"/>
      <c r="I585" s="906"/>
      <c r="J585" s="906"/>
      <c r="K585" s="907"/>
    </row>
    <row r="586" spans="1:11">
      <c r="A586" s="949" t="s">
        <v>258</v>
      </c>
      <c r="B586" s="950" t="s">
        <v>230</v>
      </c>
      <c r="C586" s="951"/>
      <c r="D586" s="984" t="s">
        <v>87</v>
      </c>
      <c r="E586" s="951"/>
      <c r="F586" s="985" t="s">
        <v>232</v>
      </c>
      <c r="G586" s="950" t="s">
        <v>230</v>
      </c>
      <c r="H586" s="955"/>
      <c r="I586" s="984" t="s">
        <v>87</v>
      </c>
      <c r="J586" s="951"/>
      <c r="K586" s="985" t="s">
        <v>232</v>
      </c>
    </row>
    <row r="587" spans="1:11" ht="12" thickBot="1">
      <c r="A587" s="973"/>
      <c r="B587" s="956" t="s">
        <v>233</v>
      </c>
      <c r="C587" s="957"/>
      <c r="D587" s="986" t="s">
        <v>1174</v>
      </c>
      <c r="E587" s="957"/>
      <c r="F587" s="881" t="s">
        <v>1175</v>
      </c>
      <c r="G587" s="956" t="s">
        <v>233</v>
      </c>
      <c r="H587" s="960"/>
      <c r="I587" s="986" t="s">
        <v>1174</v>
      </c>
      <c r="J587" s="957"/>
      <c r="K587" s="881" t="s">
        <v>1175</v>
      </c>
    </row>
    <row r="588" spans="1:11">
      <c r="A588" s="558" t="s">
        <v>332</v>
      </c>
      <c r="B588" s="1129"/>
      <c r="C588" s="963"/>
      <c r="D588" s="1125"/>
      <c r="E588" s="963"/>
      <c r="F588" s="807">
        <f>B588*D588</f>
        <v>0</v>
      </c>
      <c r="G588" s="1156"/>
      <c r="H588" s="963"/>
      <c r="I588" s="626">
        <f>D588</f>
        <v>0</v>
      </c>
      <c r="J588" s="963"/>
      <c r="K588" s="807">
        <f>G588*I588</f>
        <v>0</v>
      </c>
    </row>
    <row r="589" spans="1:11">
      <c r="A589" s="572" t="s">
        <v>333</v>
      </c>
      <c r="B589" s="1130"/>
      <c r="C589" s="968"/>
      <c r="D589" s="1126"/>
      <c r="E589" s="968"/>
      <c r="F589" s="798">
        <f>B589*D589</f>
        <v>0</v>
      </c>
      <c r="G589" s="1155"/>
      <c r="H589" s="968"/>
      <c r="I589" s="627">
        <f>D589</f>
        <v>0</v>
      </c>
      <c r="J589" s="968"/>
      <c r="K589" s="798">
        <f>G589*I589</f>
        <v>0</v>
      </c>
    </row>
    <row r="590" spans="1:11">
      <c r="A590" s="572" t="s">
        <v>334</v>
      </c>
      <c r="B590" s="1130"/>
      <c r="C590" s="968"/>
      <c r="D590" s="1126"/>
      <c r="E590" s="968"/>
      <c r="F590" s="798">
        <f>B590*D590</f>
        <v>0</v>
      </c>
      <c r="G590" s="1155"/>
      <c r="H590" s="968"/>
      <c r="I590" s="627">
        <f>D590</f>
        <v>0</v>
      </c>
      <c r="J590" s="968"/>
      <c r="K590" s="798">
        <f>G590*I590</f>
        <v>0</v>
      </c>
    </row>
    <row r="591" spans="1:11" ht="12" thickBot="1">
      <c r="A591" s="624" t="s">
        <v>335</v>
      </c>
      <c r="B591" s="1130"/>
      <c r="C591" s="1192"/>
      <c r="D591" s="634" t="s">
        <v>336</v>
      </c>
      <c r="E591" s="1192"/>
      <c r="F591" s="808">
        <f>B591*D591</f>
        <v>0</v>
      </c>
      <c r="G591" s="1155"/>
      <c r="H591" s="1192"/>
      <c r="I591" s="634" t="s">
        <v>336</v>
      </c>
      <c r="J591" s="1192"/>
      <c r="K591" s="808">
        <f>G591*I591</f>
        <v>0</v>
      </c>
    </row>
    <row r="592" spans="1:11" ht="16.5" customHeight="1" thickBot="1">
      <c r="A592" s="1014" t="s">
        <v>292</v>
      </c>
      <c r="B592" s="810" t="s">
        <v>300</v>
      </c>
      <c r="C592" s="970"/>
      <c r="D592" s="988" t="s">
        <v>257</v>
      </c>
      <c r="E592" s="970"/>
      <c r="F592" s="800">
        <f>SUM(F588:F591)</f>
        <v>0</v>
      </c>
      <c r="G592" s="810" t="str">
        <f>B592</f>
        <v>-----------------</v>
      </c>
      <c r="H592" s="970"/>
      <c r="I592" s="988" t="str">
        <f>D592</f>
        <v>-------------------</v>
      </c>
      <c r="J592" s="970"/>
      <c r="K592" s="800">
        <f>SUM(K588:K591)</f>
        <v>0</v>
      </c>
    </row>
    <row r="593" spans="1:11">
      <c r="A593" s="768"/>
      <c r="B593" s="767"/>
      <c r="C593" s="767"/>
      <c r="D593" s="767"/>
      <c r="E593" s="767"/>
      <c r="F593" s="767"/>
      <c r="G593" s="767"/>
      <c r="H593" s="768"/>
      <c r="I593" s="767"/>
      <c r="J593" s="767"/>
      <c r="K593" s="767"/>
    </row>
    <row r="594" spans="1:11">
      <c r="A594" s="983" t="s">
        <v>1275</v>
      </c>
      <c r="B594" s="767"/>
      <c r="C594" s="767"/>
      <c r="D594" s="767"/>
      <c r="E594" s="767"/>
      <c r="F594" s="767"/>
      <c r="G594" s="767"/>
      <c r="H594" s="768"/>
      <c r="I594" s="767"/>
      <c r="J594" s="767"/>
      <c r="K594" s="767"/>
    </row>
    <row r="595" spans="1:11" ht="12" thickBot="1">
      <c r="A595" s="768"/>
      <c r="B595" s="767"/>
      <c r="C595" s="767"/>
      <c r="D595" s="767"/>
      <c r="E595" s="767"/>
      <c r="F595" s="767"/>
      <c r="G595" s="767"/>
      <c r="H595" s="768"/>
      <c r="I595" s="767"/>
      <c r="J595" s="767"/>
      <c r="K595" s="767"/>
    </row>
    <row r="596" spans="1:11" ht="12" thickBot="1">
      <c r="A596" s="995"/>
      <c r="B596" s="905" t="s">
        <v>82</v>
      </c>
      <c r="C596" s="906"/>
      <c r="D596" s="906"/>
      <c r="E596" s="906"/>
      <c r="F596" s="907"/>
      <c r="G596" s="905" t="s">
        <v>83</v>
      </c>
      <c r="H596" s="908"/>
      <c r="I596" s="906"/>
      <c r="J596" s="906"/>
      <c r="K596" s="907"/>
    </row>
    <row r="597" spans="1:11" ht="12" thickBot="1">
      <c r="A597" s="973" t="s">
        <v>258</v>
      </c>
      <c r="B597" s="905" t="s">
        <v>281</v>
      </c>
      <c r="C597" s="906"/>
      <c r="D597" s="974" t="s">
        <v>1182</v>
      </c>
      <c r="E597" s="906"/>
      <c r="F597" s="1023" t="s">
        <v>1183</v>
      </c>
      <c r="G597" s="905" t="s">
        <v>281</v>
      </c>
      <c r="H597" s="908"/>
      <c r="I597" s="974" t="s">
        <v>1182</v>
      </c>
      <c r="J597" s="906"/>
      <c r="K597" s="1023" t="s">
        <v>1183</v>
      </c>
    </row>
    <row r="598" spans="1:11">
      <c r="A598" s="558" t="s">
        <v>326</v>
      </c>
      <c r="B598" s="1129"/>
      <c r="C598" s="963"/>
      <c r="D598" s="1125"/>
      <c r="E598" s="963"/>
      <c r="F598" s="807">
        <f>B598*D598</f>
        <v>0</v>
      </c>
      <c r="G598" s="1156"/>
      <c r="H598" s="963"/>
      <c r="I598" s="626">
        <f t="shared" ref="I598:I605" si="72">D598</f>
        <v>0</v>
      </c>
      <c r="J598" s="963"/>
      <c r="K598" s="807">
        <f>G598*I598</f>
        <v>0</v>
      </c>
    </row>
    <row r="599" spans="1:11">
      <c r="A599" s="572" t="s">
        <v>337</v>
      </c>
      <c r="B599" s="1130"/>
      <c r="C599" s="968"/>
      <c r="D599" s="1126"/>
      <c r="E599" s="968"/>
      <c r="F599" s="798">
        <f t="shared" ref="F599:F604" si="73">B599*D599</f>
        <v>0</v>
      </c>
      <c r="G599" s="1155"/>
      <c r="H599" s="968"/>
      <c r="I599" s="627">
        <f t="shared" si="72"/>
        <v>0</v>
      </c>
      <c r="J599" s="968"/>
      <c r="K599" s="798">
        <f t="shared" ref="K599:K604" si="74">G599*I599</f>
        <v>0</v>
      </c>
    </row>
    <row r="600" spans="1:11">
      <c r="A600" s="572" t="s">
        <v>338</v>
      </c>
      <c r="B600" s="1130"/>
      <c r="C600" s="968"/>
      <c r="D600" s="1126"/>
      <c r="E600" s="968"/>
      <c r="F600" s="798">
        <f t="shared" si="73"/>
        <v>0</v>
      </c>
      <c r="G600" s="1155"/>
      <c r="H600" s="968"/>
      <c r="I600" s="627">
        <f t="shared" si="72"/>
        <v>0</v>
      </c>
      <c r="J600" s="968"/>
      <c r="K600" s="798">
        <f t="shared" si="74"/>
        <v>0</v>
      </c>
    </row>
    <row r="601" spans="1:11">
      <c r="A601" s="572" t="s">
        <v>339</v>
      </c>
      <c r="B601" s="1130"/>
      <c r="C601" s="968"/>
      <c r="D601" s="1126"/>
      <c r="E601" s="968"/>
      <c r="F601" s="798">
        <f t="shared" si="73"/>
        <v>0</v>
      </c>
      <c r="G601" s="1155"/>
      <c r="H601" s="968"/>
      <c r="I601" s="627">
        <f t="shared" si="72"/>
        <v>0</v>
      </c>
      <c r="J601" s="968"/>
      <c r="K601" s="798">
        <f t="shared" si="74"/>
        <v>0</v>
      </c>
    </row>
    <row r="602" spans="1:11">
      <c r="A602" s="572" t="s">
        <v>340</v>
      </c>
      <c r="B602" s="1130"/>
      <c r="C602" s="968"/>
      <c r="D602" s="1126"/>
      <c r="E602" s="968"/>
      <c r="F602" s="798">
        <f t="shared" si="73"/>
        <v>0</v>
      </c>
      <c r="G602" s="1155"/>
      <c r="H602" s="968"/>
      <c r="I602" s="627">
        <f t="shared" si="72"/>
        <v>0</v>
      </c>
      <c r="J602" s="968"/>
      <c r="K602" s="798">
        <f t="shared" si="74"/>
        <v>0</v>
      </c>
    </row>
    <row r="603" spans="1:11">
      <c r="A603" s="572" t="s">
        <v>341</v>
      </c>
      <c r="B603" s="1130"/>
      <c r="C603" s="968"/>
      <c r="D603" s="1126"/>
      <c r="E603" s="968"/>
      <c r="F603" s="798">
        <f t="shared" si="73"/>
        <v>0</v>
      </c>
      <c r="G603" s="1155"/>
      <c r="H603" s="968"/>
      <c r="I603" s="627">
        <f t="shared" si="72"/>
        <v>0</v>
      </c>
      <c r="J603" s="968"/>
      <c r="K603" s="798">
        <f t="shared" si="74"/>
        <v>0</v>
      </c>
    </row>
    <row r="604" spans="1:11" ht="12" thickBot="1">
      <c r="A604" s="624" t="s">
        <v>342</v>
      </c>
      <c r="B604" s="1131"/>
      <c r="C604" s="1192"/>
      <c r="D604" s="1127"/>
      <c r="E604" s="1192"/>
      <c r="F604" s="808">
        <f t="shared" si="73"/>
        <v>0</v>
      </c>
      <c r="G604" s="1161"/>
      <c r="H604" s="1192"/>
      <c r="I604" s="628">
        <f t="shared" si="72"/>
        <v>0</v>
      </c>
      <c r="J604" s="1192"/>
      <c r="K604" s="808">
        <f t="shared" si="74"/>
        <v>0</v>
      </c>
    </row>
    <row r="605" spans="1:11" ht="16.5" customHeight="1" thickBot="1">
      <c r="A605" s="1014" t="s">
        <v>292</v>
      </c>
      <c r="B605" s="810" t="s">
        <v>256</v>
      </c>
      <c r="C605" s="970"/>
      <c r="D605" s="988" t="s">
        <v>257</v>
      </c>
      <c r="E605" s="970"/>
      <c r="F605" s="800">
        <f>SUM(F598:F604)</f>
        <v>0</v>
      </c>
      <c r="G605" s="1164" t="str">
        <f>B605</f>
        <v>------------------</v>
      </c>
      <c r="H605" s="970"/>
      <c r="I605" s="988" t="str">
        <f t="shared" si="72"/>
        <v>-------------------</v>
      </c>
      <c r="J605" s="970"/>
      <c r="K605" s="800">
        <f>SUM(K598:K604)</f>
        <v>0</v>
      </c>
    </row>
    <row r="606" spans="1:11">
      <c r="A606" s="768"/>
      <c r="B606" s="767"/>
      <c r="C606" s="767"/>
      <c r="D606" s="767"/>
      <c r="E606" s="767"/>
      <c r="F606" s="767"/>
      <c r="G606" s="767"/>
      <c r="H606" s="768"/>
      <c r="I606" s="767"/>
      <c r="J606" s="767"/>
      <c r="K606" s="767"/>
    </row>
    <row r="607" spans="1:11">
      <c r="A607" s="1034" t="s">
        <v>1276</v>
      </c>
      <c r="B607" s="767"/>
      <c r="C607" s="767"/>
      <c r="D607" s="767"/>
      <c r="E607" s="767"/>
      <c r="F607" s="767"/>
      <c r="G607" s="767"/>
      <c r="H607" s="768"/>
      <c r="I607" s="767"/>
      <c r="J607" s="767"/>
      <c r="K607" s="767"/>
    </row>
    <row r="608" spans="1:11" ht="12" thickBot="1">
      <c r="A608" s="768"/>
      <c r="B608" s="767"/>
      <c r="C608" s="767"/>
      <c r="D608" s="767"/>
      <c r="E608" s="767"/>
      <c r="F608" s="767"/>
      <c r="G608" s="767"/>
      <c r="H608" s="768"/>
      <c r="I608" s="767"/>
      <c r="J608" s="767"/>
      <c r="K608" s="767"/>
    </row>
    <row r="609" spans="1:11" ht="12" thickBot="1">
      <c r="A609" s="1026"/>
      <c r="B609" s="905" t="s">
        <v>82</v>
      </c>
      <c r="C609" s="906"/>
      <c r="D609" s="906"/>
      <c r="E609" s="906"/>
      <c r="F609" s="907"/>
      <c r="G609" s="905" t="s">
        <v>83</v>
      </c>
      <c r="H609" s="908"/>
      <c r="I609" s="906"/>
      <c r="J609" s="906"/>
      <c r="K609" s="907"/>
    </row>
    <row r="610" spans="1:11" ht="12" thickBot="1">
      <c r="A610" s="949" t="s">
        <v>258</v>
      </c>
      <c r="B610" s="905" t="s">
        <v>1184</v>
      </c>
      <c r="C610" s="906"/>
      <c r="D610" s="974" t="s">
        <v>301</v>
      </c>
      <c r="E610" s="906"/>
      <c r="F610" s="907"/>
      <c r="G610" s="905" t="s">
        <v>1184</v>
      </c>
      <c r="H610" s="908"/>
      <c r="I610" s="974" t="s">
        <v>301</v>
      </c>
      <c r="J610" s="906"/>
      <c r="K610" s="907"/>
    </row>
    <row r="611" spans="1:11">
      <c r="A611" s="558" t="s">
        <v>318</v>
      </c>
      <c r="B611" s="649"/>
      <c r="C611" s="1383"/>
      <c r="D611" s="642"/>
      <c r="E611" s="559"/>
      <c r="F611" s="27"/>
      <c r="G611" s="673"/>
      <c r="H611" s="1384"/>
      <c r="I611" s="586"/>
      <c r="J611" s="27"/>
      <c r="K611" s="563"/>
    </row>
    <row r="612" spans="1:11">
      <c r="A612" s="572" t="s">
        <v>303</v>
      </c>
      <c r="B612" s="703"/>
      <c r="C612" s="1384"/>
      <c r="D612" s="643"/>
      <c r="E612" s="27"/>
      <c r="F612" s="27"/>
      <c r="G612" s="1162"/>
      <c r="H612" s="1384"/>
      <c r="I612" s="1159"/>
      <c r="J612" s="27"/>
      <c r="K612" s="563"/>
    </row>
    <row r="613" spans="1:11" ht="12" thickBot="1">
      <c r="A613" s="624" t="s">
        <v>329</v>
      </c>
      <c r="B613" s="708"/>
      <c r="C613" s="1386"/>
      <c r="D613" s="650" t="s">
        <v>343</v>
      </c>
      <c r="E613" s="565"/>
      <c r="F613" s="27"/>
      <c r="G613" s="1163"/>
      <c r="H613" s="1386"/>
      <c r="I613" s="1160" t="s">
        <v>343</v>
      </c>
      <c r="J613" s="565"/>
      <c r="K613" s="563"/>
    </row>
    <row r="614" spans="1:11" ht="16.5" customHeight="1" thickBot="1">
      <c r="A614" s="1014" t="s">
        <v>292</v>
      </c>
      <c r="B614" s="785">
        <f>SUM(B611:B613)</f>
        <v>0</v>
      </c>
      <c r="C614" s="970"/>
      <c r="D614" s="988" t="s">
        <v>344</v>
      </c>
      <c r="E614" s="970"/>
      <c r="F614" s="990"/>
      <c r="G614" s="785">
        <f>SUM(G611:G613)</f>
        <v>0</v>
      </c>
      <c r="H614" s="970"/>
      <c r="I614" s="988" t="str">
        <f>D614</f>
        <v>-----------------------------</v>
      </c>
      <c r="J614" s="970"/>
      <c r="K614" s="990"/>
    </row>
    <row r="615" spans="1:11">
      <c r="A615" s="914"/>
      <c r="B615" s="915"/>
      <c r="C615" s="915"/>
      <c r="D615" s="915"/>
      <c r="E615" s="915"/>
      <c r="F615" s="843" t="s">
        <v>1249</v>
      </c>
      <c r="G615" s="1406" t="e">
        <f>XONNOM &amp; " " &amp; XONPRE &amp; ", " &amp; TEXT(XONCP,"@@@@") &amp; " " &amp; XONLOC</f>
        <v>#VALUE!</v>
      </c>
      <c r="H615" s="1406"/>
      <c r="I615" s="1406"/>
      <c r="J615" s="1406"/>
      <c r="K615" s="1406"/>
    </row>
    <row r="616" spans="1:11">
      <c r="A616" s="863" t="s">
        <v>1277</v>
      </c>
      <c r="B616" s="767"/>
      <c r="C616" s="767"/>
      <c r="D616" s="767"/>
      <c r="E616" s="767"/>
      <c r="F616" s="843" t="s">
        <v>68</v>
      </c>
      <c r="G616" s="1430">
        <f>J6</f>
        <v>0</v>
      </c>
      <c r="H616" s="1430"/>
      <c r="I616" s="767"/>
      <c r="J616" s="767"/>
      <c r="K616" s="767"/>
    </row>
    <row r="617" spans="1:11" ht="12" thickBot="1">
      <c r="A617" s="768"/>
      <c r="B617" s="767"/>
      <c r="C617" s="767"/>
      <c r="D617" s="767"/>
      <c r="E617" s="767"/>
      <c r="F617" s="767"/>
      <c r="G617" s="767"/>
      <c r="H617" s="768"/>
      <c r="I617" s="767"/>
      <c r="J617" s="767"/>
      <c r="K617" s="767"/>
    </row>
    <row r="618" spans="1:11" ht="12" thickBot="1">
      <c r="A618" s="1026"/>
      <c r="B618" s="905" t="s">
        <v>82</v>
      </c>
      <c r="C618" s="906"/>
      <c r="D618" s="906"/>
      <c r="E618" s="906"/>
      <c r="F618" s="907"/>
      <c r="G618" s="905" t="s">
        <v>83</v>
      </c>
      <c r="H618" s="908"/>
      <c r="I618" s="906"/>
      <c r="J618" s="906"/>
      <c r="K618" s="907"/>
    </row>
    <row r="619" spans="1:11">
      <c r="A619" s="949" t="s">
        <v>258</v>
      </c>
      <c r="B619" s="950" t="s">
        <v>345</v>
      </c>
      <c r="C619" s="951"/>
      <c r="D619" s="999" t="s">
        <v>1185</v>
      </c>
      <c r="E619" s="999" t="s">
        <v>346</v>
      </c>
      <c r="F619" s="985" t="s">
        <v>251</v>
      </c>
      <c r="G619" s="950" t="s">
        <v>345</v>
      </c>
      <c r="H619" s="955"/>
      <c r="I619" s="999" t="s">
        <v>1185</v>
      </c>
      <c r="J619" s="999" t="s">
        <v>346</v>
      </c>
      <c r="K619" s="985" t="s">
        <v>251</v>
      </c>
    </row>
    <row r="620" spans="1:11" ht="12" thickBot="1">
      <c r="A620" s="1029"/>
      <c r="B620" s="956" t="s">
        <v>347</v>
      </c>
      <c r="C620" s="957"/>
      <c r="D620" s="1030" t="s">
        <v>1186</v>
      </c>
      <c r="E620" s="1002"/>
      <c r="F620" s="881" t="s">
        <v>1167</v>
      </c>
      <c r="G620" s="956" t="s">
        <v>347</v>
      </c>
      <c r="H620" s="960"/>
      <c r="I620" s="1030" t="s">
        <v>1186</v>
      </c>
      <c r="J620" s="1002"/>
      <c r="K620" s="881" t="s">
        <v>1167</v>
      </c>
    </row>
    <row r="621" spans="1:11">
      <c r="A621" s="631" t="s">
        <v>348</v>
      </c>
      <c r="B621" s="1389">
        <v>0</v>
      </c>
      <c r="C621" s="1334"/>
      <c r="D621" s="1126"/>
      <c r="E621" s="652"/>
      <c r="F621" s="816">
        <f>B621*D621*E621</f>
        <v>0</v>
      </c>
      <c r="G621" s="1153">
        <v>0</v>
      </c>
      <c r="H621" s="1334"/>
      <c r="I621" s="627">
        <f t="shared" ref="I621:I629" si="75">D621</f>
        <v>0</v>
      </c>
      <c r="J621" s="1165">
        <v>0</v>
      </c>
      <c r="K621" s="798">
        <f>G621*I621*J621</f>
        <v>0</v>
      </c>
    </row>
    <row r="622" spans="1:11">
      <c r="A622" s="654" t="s">
        <v>349</v>
      </c>
      <c r="B622" s="1390">
        <v>0</v>
      </c>
      <c r="C622" s="1335"/>
      <c r="D622" s="1126"/>
      <c r="E622" s="652"/>
      <c r="F622" s="816">
        <f t="shared" ref="F622:F627" si="76">B622*D622*E622</f>
        <v>0</v>
      </c>
      <c r="G622" s="1154">
        <v>0</v>
      </c>
      <c r="H622" s="1335"/>
      <c r="I622" s="627">
        <f t="shared" si="75"/>
        <v>0</v>
      </c>
      <c r="J622" s="1165">
        <v>0</v>
      </c>
      <c r="K622" s="798">
        <f t="shared" ref="K622:K627" si="77">G622*I622*J622</f>
        <v>0</v>
      </c>
    </row>
    <row r="623" spans="1:11">
      <c r="A623" s="572" t="s">
        <v>350</v>
      </c>
      <c r="B623" s="1390">
        <v>0</v>
      </c>
      <c r="C623" s="1335"/>
      <c r="D623" s="1126"/>
      <c r="E623" s="652"/>
      <c r="F623" s="816">
        <f t="shared" si="76"/>
        <v>0</v>
      </c>
      <c r="G623" s="1154">
        <v>0</v>
      </c>
      <c r="H623" s="1335"/>
      <c r="I623" s="627">
        <f t="shared" si="75"/>
        <v>0</v>
      </c>
      <c r="J623" s="1165">
        <v>0</v>
      </c>
      <c r="K623" s="798">
        <f t="shared" si="77"/>
        <v>0</v>
      </c>
    </row>
    <row r="624" spans="1:11" s="656" customFormat="1">
      <c r="A624" s="655" t="s">
        <v>351</v>
      </c>
      <c r="B624" s="1390">
        <v>0</v>
      </c>
      <c r="C624" s="1335"/>
      <c r="D624" s="1126"/>
      <c r="E624" s="652"/>
      <c r="F624" s="816">
        <f t="shared" si="76"/>
        <v>0</v>
      </c>
      <c r="G624" s="1154">
        <v>0</v>
      </c>
      <c r="H624" s="1335"/>
      <c r="I624" s="627">
        <f t="shared" si="75"/>
        <v>0</v>
      </c>
      <c r="J624" s="1165">
        <v>0</v>
      </c>
      <c r="K624" s="798">
        <f t="shared" si="77"/>
        <v>0</v>
      </c>
    </row>
    <row r="625" spans="1:11">
      <c r="A625" s="572"/>
      <c r="B625" s="1390">
        <v>0</v>
      </c>
      <c r="C625" s="1335"/>
      <c r="D625" s="1126"/>
      <c r="E625" s="652"/>
      <c r="F625" s="816">
        <f t="shared" si="76"/>
        <v>0</v>
      </c>
      <c r="G625" s="1154">
        <v>0</v>
      </c>
      <c r="H625" s="1335"/>
      <c r="I625" s="627">
        <f t="shared" si="75"/>
        <v>0</v>
      </c>
      <c r="J625" s="1165">
        <v>0</v>
      </c>
      <c r="K625" s="798">
        <f t="shared" si="77"/>
        <v>0</v>
      </c>
    </row>
    <row r="626" spans="1:11">
      <c r="A626" s="655" t="s">
        <v>352</v>
      </c>
      <c r="B626" s="1390">
        <v>0</v>
      </c>
      <c r="C626" s="1335"/>
      <c r="D626" s="1126"/>
      <c r="E626" s="652"/>
      <c r="F626" s="816">
        <f t="shared" si="76"/>
        <v>0</v>
      </c>
      <c r="G626" s="1154">
        <v>0</v>
      </c>
      <c r="H626" s="1335"/>
      <c r="I626" s="627">
        <f t="shared" si="75"/>
        <v>0</v>
      </c>
      <c r="J626" s="1165">
        <v>0</v>
      </c>
      <c r="K626" s="798">
        <f t="shared" si="77"/>
        <v>0</v>
      </c>
    </row>
    <row r="627" spans="1:11">
      <c r="A627" s="572" t="s">
        <v>353</v>
      </c>
      <c r="B627" s="1390">
        <v>0</v>
      </c>
      <c r="C627" s="1335"/>
      <c r="D627" s="1126"/>
      <c r="E627" s="652"/>
      <c r="F627" s="816">
        <f t="shared" si="76"/>
        <v>0</v>
      </c>
      <c r="G627" s="1154">
        <v>0</v>
      </c>
      <c r="H627" s="1335"/>
      <c r="I627" s="627">
        <f t="shared" si="75"/>
        <v>0</v>
      </c>
      <c r="J627" s="1165">
        <v>0</v>
      </c>
      <c r="K627" s="798">
        <f t="shared" si="77"/>
        <v>0</v>
      </c>
    </row>
    <row r="628" spans="1:11" ht="12" thickBot="1">
      <c r="A628" s="624" t="s">
        <v>354</v>
      </c>
      <c r="B628" s="1391"/>
      <c r="C628" s="1337"/>
      <c r="D628" s="1126"/>
      <c r="E628" s="657"/>
      <c r="F628" s="653"/>
      <c r="G628" s="1157"/>
      <c r="H628" s="1337"/>
      <c r="I628" s="627">
        <f t="shared" si="75"/>
        <v>0</v>
      </c>
      <c r="J628" s="627"/>
      <c r="K628" s="28"/>
    </row>
    <row r="629" spans="1:11" ht="16.5" customHeight="1" thickBot="1">
      <c r="A629" s="923" t="s">
        <v>292</v>
      </c>
      <c r="B629" s="838" t="s">
        <v>256</v>
      </c>
      <c r="C629" s="970"/>
      <c r="D629" s="1006" t="s">
        <v>130</v>
      </c>
      <c r="E629" s="1006" t="s">
        <v>148</v>
      </c>
      <c r="F629" s="800">
        <f>SUM(F621:F628)</f>
        <v>0</v>
      </c>
      <c r="G629" s="838" t="str">
        <f>B629</f>
        <v>------------------</v>
      </c>
      <c r="H629" s="970"/>
      <c r="I629" s="1006" t="str">
        <f t="shared" si="75"/>
        <v>-------</v>
      </c>
      <c r="J629" s="1006" t="str">
        <f>E629</f>
        <v>--------</v>
      </c>
      <c r="K629" s="800">
        <f>SUM(K621:K628)</f>
        <v>0</v>
      </c>
    </row>
    <row r="630" spans="1:11">
      <c r="A630" s="768" t="s">
        <v>0</v>
      </c>
      <c r="B630" s="767"/>
      <c r="C630" s="767"/>
      <c r="D630" s="767"/>
      <c r="E630" s="767"/>
      <c r="F630" s="767"/>
      <c r="G630" s="1031"/>
      <c r="H630" s="1032"/>
      <c r="I630" s="767"/>
      <c r="J630" s="767"/>
      <c r="K630" s="767"/>
    </row>
    <row r="631" spans="1:11">
      <c r="A631" s="768"/>
      <c r="B631" s="767"/>
      <c r="C631" s="767"/>
      <c r="D631" s="767"/>
      <c r="E631" s="767"/>
      <c r="F631" s="767"/>
      <c r="G631" s="767"/>
      <c r="H631" s="768"/>
      <c r="I631" s="767"/>
      <c r="J631" s="767"/>
      <c r="K631" s="767"/>
    </row>
    <row r="632" spans="1:11">
      <c r="A632" s="1033" t="s">
        <v>1278</v>
      </c>
      <c r="B632" s="767"/>
      <c r="C632" s="767"/>
      <c r="D632" s="767"/>
      <c r="E632" s="767"/>
      <c r="F632" s="767"/>
      <c r="G632" s="767"/>
      <c r="H632" s="768"/>
      <c r="I632" s="767"/>
      <c r="J632" s="767"/>
      <c r="K632" s="767"/>
    </row>
    <row r="633" spans="1:11">
      <c r="A633" s="1033"/>
      <c r="B633" s="767"/>
      <c r="C633" s="767"/>
      <c r="D633" s="767"/>
      <c r="E633" s="767"/>
      <c r="F633" s="767"/>
      <c r="G633" s="767"/>
      <c r="H633" s="768"/>
      <c r="I633" s="767"/>
      <c r="J633" s="767"/>
      <c r="K633" s="767"/>
    </row>
    <row r="634" spans="1:11">
      <c r="A634" s="1034" t="s">
        <v>1279</v>
      </c>
      <c r="B634" s="767"/>
      <c r="C634" s="767"/>
      <c r="D634" s="767"/>
      <c r="E634" s="767"/>
      <c r="F634" s="767"/>
      <c r="G634" s="767"/>
      <c r="H634" s="768"/>
      <c r="I634" s="767"/>
      <c r="J634" s="767"/>
      <c r="K634" s="767"/>
    </row>
    <row r="635" spans="1:11" ht="12" thickBot="1">
      <c r="A635" s="1032"/>
      <c r="B635" s="767"/>
      <c r="C635" s="767"/>
      <c r="D635" s="767"/>
      <c r="E635" s="767"/>
      <c r="F635" s="767"/>
      <c r="G635" s="767"/>
      <c r="H635" s="768"/>
      <c r="I635" s="767"/>
      <c r="J635" s="767"/>
      <c r="K635" s="767"/>
    </row>
    <row r="636" spans="1:11" ht="12" thickBot="1">
      <c r="A636" s="995"/>
      <c r="B636" s="905" t="s">
        <v>82</v>
      </c>
      <c r="C636" s="906"/>
      <c r="D636" s="906"/>
      <c r="E636" s="906"/>
      <c r="F636" s="906"/>
      <c r="G636" s="905" t="s">
        <v>83</v>
      </c>
      <c r="H636" s="908"/>
      <c r="I636" s="906"/>
      <c r="J636" s="906"/>
      <c r="K636" s="907"/>
    </row>
    <row r="637" spans="1:11">
      <c r="A637" s="949" t="s">
        <v>258</v>
      </c>
      <c r="B637" s="950" t="s">
        <v>230</v>
      </c>
      <c r="C637" s="951"/>
      <c r="D637" s="984" t="s">
        <v>87</v>
      </c>
      <c r="E637" s="951"/>
      <c r="F637" s="999" t="s">
        <v>232</v>
      </c>
      <c r="G637" s="950" t="s">
        <v>230</v>
      </c>
      <c r="H637" s="955"/>
      <c r="I637" s="984" t="s">
        <v>87</v>
      </c>
      <c r="J637" s="951"/>
      <c r="K637" s="985" t="s">
        <v>232</v>
      </c>
    </row>
    <row r="638" spans="1:11" ht="12" thickBot="1">
      <c r="A638" s="973"/>
      <c r="B638" s="956" t="s">
        <v>233</v>
      </c>
      <c r="C638" s="957"/>
      <c r="D638" s="986" t="s">
        <v>1174</v>
      </c>
      <c r="E638" s="957"/>
      <c r="F638" s="1002" t="s">
        <v>1175</v>
      </c>
      <c r="G638" s="956" t="s">
        <v>233</v>
      </c>
      <c r="H638" s="960"/>
      <c r="I638" s="986" t="s">
        <v>1174</v>
      </c>
      <c r="J638" s="957"/>
      <c r="K638" s="881" t="s">
        <v>1175</v>
      </c>
    </row>
    <row r="639" spans="1:11">
      <c r="A639" s="631" t="s">
        <v>355</v>
      </c>
      <c r="B639" s="30"/>
      <c r="C639" s="1384"/>
      <c r="D639" s="30"/>
      <c r="E639" s="968"/>
      <c r="F639" s="658"/>
      <c r="G639" s="530"/>
      <c r="H639" s="1384"/>
      <c r="I639" s="30"/>
      <c r="J639" s="968"/>
      <c r="K639" s="638"/>
    </row>
    <row r="640" spans="1:11">
      <c r="A640" s="646" t="s">
        <v>356</v>
      </c>
      <c r="B640" s="659"/>
      <c r="C640" s="1384"/>
      <c r="D640" s="1104"/>
      <c r="E640" s="968"/>
      <c r="F640" s="816">
        <f>B640*D640</f>
        <v>0</v>
      </c>
      <c r="G640" s="1155">
        <f>B640</f>
        <v>0</v>
      </c>
      <c r="H640" s="1384"/>
      <c r="I640" s="535">
        <f>D640</f>
        <v>0</v>
      </c>
      <c r="J640" s="968"/>
      <c r="K640" s="798">
        <f>G640*I640</f>
        <v>0</v>
      </c>
    </row>
    <row r="641" spans="1:11">
      <c r="A641" s="646" t="s">
        <v>357</v>
      </c>
      <c r="B641" s="659"/>
      <c r="C641" s="1384"/>
      <c r="D641" s="1104"/>
      <c r="E641" s="968"/>
      <c r="F641" s="816">
        <f>B641*D641</f>
        <v>0</v>
      </c>
      <c r="G641" s="1155">
        <f t="shared" ref="G641:G651" si="78">B641</f>
        <v>0</v>
      </c>
      <c r="H641" s="1384"/>
      <c r="I641" s="535">
        <f t="shared" ref="I641:I651" si="79">D641</f>
        <v>0</v>
      </c>
      <c r="J641" s="968"/>
      <c r="K641" s="798">
        <f>G641*I641</f>
        <v>0</v>
      </c>
    </row>
    <row r="642" spans="1:11">
      <c r="A642" s="646" t="s">
        <v>358</v>
      </c>
      <c r="B642" s="659"/>
      <c r="C642" s="1384"/>
      <c r="D642" s="1104"/>
      <c r="E642" s="968"/>
      <c r="F642" s="816">
        <f>B642*D642</f>
        <v>0</v>
      </c>
      <c r="G642" s="1155">
        <f t="shared" si="78"/>
        <v>0</v>
      </c>
      <c r="H642" s="1384"/>
      <c r="I642" s="535">
        <f t="shared" si="79"/>
        <v>0</v>
      </c>
      <c r="J642" s="968"/>
      <c r="K642" s="798">
        <f>G642*I642</f>
        <v>0</v>
      </c>
    </row>
    <row r="643" spans="1:11">
      <c r="A643" s="579" t="s">
        <v>359</v>
      </c>
      <c r="B643" s="660"/>
      <c r="C643" s="1384"/>
      <c r="D643" s="30"/>
      <c r="E643" s="968"/>
      <c r="F643" s="658"/>
      <c r="G643" s="1155">
        <f t="shared" si="78"/>
        <v>0</v>
      </c>
      <c r="H643" s="1384"/>
      <c r="I643" s="535">
        <f t="shared" si="79"/>
        <v>0</v>
      </c>
      <c r="J643" s="968"/>
      <c r="K643" s="638"/>
    </row>
    <row r="644" spans="1:11">
      <c r="A644" s="646" t="s">
        <v>360</v>
      </c>
      <c r="B644" s="660"/>
      <c r="C644" s="1384"/>
      <c r="D644" s="30"/>
      <c r="E644" s="968"/>
      <c r="F644" s="658"/>
      <c r="G644" s="1155">
        <f t="shared" si="78"/>
        <v>0</v>
      </c>
      <c r="H644" s="1384"/>
      <c r="I644" s="535">
        <f t="shared" si="79"/>
        <v>0</v>
      </c>
      <c r="J644" s="968"/>
      <c r="K644" s="638"/>
    </row>
    <row r="645" spans="1:11">
      <c r="A645" s="646" t="s">
        <v>356</v>
      </c>
      <c r="B645" s="659"/>
      <c r="C645" s="1384"/>
      <c r="D645" s="1104"/>
      <c r="E645" s="968"/>
      <c r="F645" s="816">
        <f>B645*D645</f>
        <v>0</v>
      </c>
      <c r="G645" s="1155">
        <f t="shared" si="78"/>
        <v>0</v>
      </c>
      <c r="H645" s="1384"/>
      <c r="I645" s="535">
        <f t="shared" si="79"/>
        <v>0</v>
      </c>
      <c r="J645" s="968"/>
      <c r="K645" s="798">
        <f>G645*I645</f>
        <v>0</v>
      </c>
    </row>
    <row r="646" spans="1:11">
      <c r="A646" s="646" t="s">
        <v>357</v>
      </c>
      <c r="B646" s="659"/>
      <c r="C646" s="1384"/>
      <c r="D646" s="1104"/>
      <c r="E646" s="968"/>
      <c r="F646" s="816">
        <f>B646*D646</f>
        <v>0</v>
      </c>
      <c r="G646" s="1155">
        <f t="shared" si="78"/>
        <v>0</v>
      </c>
      <c r="H646" s="1384"/>
      <c r="I646" s="535">
        <f t="shared" si="79"/>
        <v>0</v>
      </c>
      <c r="J646" s="968"/>
      <c r="K646" s="798">
        <f>G646*I646</f>
        <v>0</v>
      </c>
    </row>
    <row r="647" spans="1:11">
      <c r="A647" s="646" t="s">
        <v>361</v>
      </c>
      <c r="B647" s="659"/>
      <c r="C647" s="1384"/>
      <c r="D647" s="1104"/>
      <c r="E647" s="968"/>
      <c r="F647" s="816">
        <f>B647*D647</f>
        <v>0</v>
      </c>
      <c r="G647" s="1155">
        <f t="shared" si="78"/>
        <v>0</v>
      </c>
      <c r="H647" s="1384"/>
      <c r="I647" s="535">
        <f t="shared" si="79"/>
        <v>0</v>
      </c>
      <c r="J647" s="968"/>
      <c r="K647" s="798">
        <f>G647*I647</f>
        <v>0</v>
      </c>
    </row>
    <row r="648" spans="1:11">
      <c r="A648" s="579" t="s">
        <v>362</v>
      </c>
      <c r="B648" s="660"/>
      <c r="C648" s="1384"/>
      <c r="D648" s="31"/>
      <c r="E648" s="968"/>
      <c r="F648" s="661"/>
      <c r="G648" s="1155">
        <f t="shared" si="78"/>
        <v>0</v>
      </c>
      <c r="H648" s="1384"/>
      <c r="I648" s="535">
        <f t="shared" si="79"/>
        <v>0</v>
      </c>
      <c r="J648" s="968"/>
      <c r="K648" s="662"/>
    </row>
    <row r="649" spans="1:11">
      <c r="A649" s="646" t="s">
        <v>356</v>
      </c>
      <c r="B649" s="659">
        <v>0</v>
      </c>
      <c r="C649" s="1384"/>
      <c r="D649" s="1104"/>
      <c r="E649" s="968"/>
      <c r="F649" s="816">
        <f>B649*D649</f>
        <v>0</v>
      </c>
      <c r="G649" s="1155">
        <f t="shared" si="78"/>
        <v>0</v>
      </c>
      <c r="H649" s="1384"/>
      <c r="I649" s="535">
        <f t="shared" si="79"/>
        <v>0</v>
      </c>
      <c r="J649" s="968"/>
      <c r="K649" s="798">
        <f>G649*I649</f>
        <v>0</v>
      </c>
    </row>
    <row r="650" spans="1:11">
      <c r="A650" s="646" t="s">
        <v>357</v>
      </c>
      <c r="B650" s="659">
        <f>B649*2</f>
        <v>0</v>
      </c>
      <c r="C650" s="1384"/>
      <c r="D650" s="1104"/>
      <c r="E650" s="968"/>
      <c r="F650" s="816">
        <f>B650*D650</f>
        <v>0</v>
      </c>
      <c r="G650" s="1155">
        <f t="shared" si="78"/>
        <v>0</v>
      </c>
      <c r="H650" s="1384"/>
      <c r="I650" s="535">
        <f t="shared" si="79"/>
        <v>0</v>
      </c>
      <c r="J650" s="968"/>
      <c r="K650" s="798">
        <f>G650*I650</f>
        <v>0</v>
      </c>
    </row>
    <row r="651" spans="1:11" ht="12" thickBot="1">
      <c r="A651" s="647" t="s">
        <v>363</v>
      </c>
      <c r="B651" s="659">
        <f>B650*30*0.75</f>
        <v>0</v>
      </c>
      <c r="C651" s="1384"/>
      <c r="D651" s="1104"/>
      <c r="E651" s="968"/>
      <c r="F651" s="816">
        <f>B651*D651</f>
        <v>0</v>
      </c>
      <c r="G651" s="1155">
        <f t="shared" si="78"/>
        <v>0</v>
      </c>
      <c r="H651" s="1384"/>
      <c r="I651" s="535">
        <f t="shared" si="79"/>
        <v>0</v>
      </c>
      <c r="J651" s="968"/>
      <c r="K651" s="798">
        <f>G651*I651</f>
        <v>0</v>
      </c>
    </row>
    <row r="652" spans="1:11" ht="12" thickBot="1">
      <c r="A652" s="1022" t="s">
        <v>364</v>
      </c>
      <c r="B652" s="810" t="s">
        <v>137</v>
      </c>
      <c r="C652" s="970"/>
      <c r="D652" s="988" t="s">
        <v>365</v>
      </c>
      <c r="E652" s="1018"/>
      <c r="F652" s="817">
        <f>SUM(F639:F651)</f>
        <v>0</v>
      </c>
      <c r="G652" s="810" t="s">
        <v>136</v>
      </c>
      <c r="H652" s="970"/>
      <c r="I652" s="988" t="s">
        <v>266</v>
      </c>
      <c r="J652" s="1018"/>
      <c r="K652" s="801">
        <f>SUM(K639:K651)</f>
        <v>0</v>
      </c>
    </row>
    <row r="653" spans="1:11">
      <c r="A653" s="855"/>
      <c r="B653" s="994"/>
      <c r="C653" s="968"/>
      <c r="D653" s="994"/>
      <c r="E653" s="968"/>
      <c r="F653" s="1035"/>
      <c r="G653" s="994"/>
      <c r="H653" s="991"/>
      <c r="I653" s="994"/>
      <c r="J653" s="968"/>
      <c r="K653" s="1035"/>
    </row>
    <row r="654" spans="1:11">
      <c r="A654" s="1021" t="s">
        <v>1280</v>
      </c>
      <c r="B654" s="994"/>
      <c r="C654" s="968"/>
      <c r="D654" s="994"/>
      <c r="E654" s="968"/>
      <c r="F654" s="1035"/>
      <c r="G654" s="994"/>
      <c r="H654" s="991"/>
      <c r="I654" s="994"/>
      <c r="J654" s="968"/>
      <c r="K654" s="1035"/>
    </row>
    <row r="655" spans="1:11" ht="12" thickBot="1">
      <c r="A655" s="855"/>
      <c r="B655" s="994"/>
      <c r="C655" s="968"/>
      <c r="D655" s="994"/>
      <c r="E655" s="968"/>
      <c r="F655" s="1035"/>
      <c r="G655" s="994"/>
      <c r="H655" s="991"/>
      <c r="I655" s="994"/>
      <c r="J655" s="968"/>
      <c r="K655" s="1035"/>
    </row>
    <row r="656" spans="1:11" ht="12" thickBot="1">
      <c r="A656" s="995"/>
      <c r="B656" s="905" t="s">
        <v>82</v>
      </c>
      <c r="C656" s="906"/>
      <c r="D656" s="906"/>
      <c r="E656" s="906"/>
      <c r="F656" s="907"/>
      <c r="G656" s="905" t="s">
        <v>83</v>
      </c>
      <c r="H656" s="908"/>
      <c r="I656" s="906"/>
      <c r="J656" s="906"/>
      <c r="K656" s="907"/>
    </row>
    <row r="657" spans="1:11" ht="12" thickBot="1">
      <c r="A657" s="973" t="s">
        <v>258</v>
      </c>
      <c r="B657" s="905" t="s">
        <v>281</v>
      </c>
      <c r="C657" s="906"/>
      <c r="D657" s="974" t="s">
        <v>1182</v>
      </c>
      <c r="E657" s="906"/>
      <c r="F657" s="1023" t="s">
        <v>1183</v>
      </c>
      <c r="G657" s="905" t="s">
        <v>281</v>
      </c>
      <c r="H657" s="908"/>
      <c r="I657" s="974" t="s">
        <v>1182</v>
      </c>
      <c r="J657" s="906"/>
      <c r="K657" s="1023" t="s">
        <v>1183</v>
      </c>
    </row>
    <row r="658" spans="1:11">
      <c r="A658" s="644" t="s">
        <v>366</v>
      </c>
      <c r="B658" s="853"/>
      <c r="C658" s="963"/>
      <c r="D658" s="1140"/>
      <c r="E658" s="963"/>
      <c r="F658" s="807">
        <f t="shared" ref="F658:F663" si="80">B658*D658</f>
        <v>0</v>
      </c>
      <c r="G658" s="1166"/>
      <c r="H658" s="963"/>
      <c r="I658" s="664">
        <f t="shared" ref="I658:I663" si="81">D658</f>
        <v>0</v>
      </c>
      <c r="J658" s="963"/>
      <c r="K658" s="807">
        <f t="shared" ref="K658:K663" si="82">G658*I658</f>
        <v>0</v>
      </c>
    </row>
    <row r="659" spans="1:11">
      <c r="A659" s="646" t="s">
        <v>367</v>
      </c>
      <c r="B659" s="665"/>
      <c r="C659" s="968"/>
      <c r="D659" s="1135"/>
      <c r="E659" s="968"/>
      <c r="F659" s="798">
        <f t="shared" si="80"/>
        <v>0</v>
      </c>
      <c r="G659" s="1167"/>
      <c r="H659" s="968"/>
      <c r="I659" s="641">
        <f t="shared" si="81"/>
        <v>0</v>
      </c>
      <c r="J659" s="968"/>
      <c r="K659" s="798">
        <f t="shared" si="82"/>
        <v>0</v>
      </c>
    </row>
    <row r="660" spans="1:11">
      <c r="A660" s="646" t="s">
        <v>271</v>
      </c>
      <c r="B660" s="665"/>
      <c r="C660" s="968"/>
      <c r="D660" s="1135"/>
      <c r="E660" s="968"/>
      <c r="F660" s="798">
        <f t="shared" si="80"/>
        <v>0</v>
      </c>
      <c r="G660" s="1167"/>
      <c r="H660" s="968"/>
      <c r="I660" s="641">
        <f t="shared" si="81"/>
        <v>0</v>
      </c>
      <c r="J660" s="968"/>
      <c r="K660" s="798">
        <f t="shared" si="82"/>
        <v>0</v>
      </c>
    </row>
    <row r="661" spans="1:11">
      <c r="A661" s="646" t="s">
        <v>368</v>
      </c>
      <c r="B661" s="665"/>
      <c r="C661" s="968"/>
      <c r="D661" s="1135"/>
      <c r="E661" s="968"/>
      <c r="F661" s="798">
        <f t="shared" si="80"/>
        <v>0</v>
      </c>
      <c r="G661" s="1167"/>
      <c r="H661" s="968"/>
      <c r="I661" s="641">
        <f t="shared" si="81"/>
        <v>0</v>
      </c>
      <c r="J661" s="968"/>
      <c r="K661" s="798">
        <f t="shared" si="82"/>
        <v>0</v>
      </c>
    </row>
    <row r="662" spans="1:11">
      <c r="A662" s="646" t="s">
        <v>369</v>
      </c>
      <c r="B662" s="665"/>
      <c r="C662" s="968"/>
      <c r="D662" s="1135"/>
      <c r="E662" s="968"/>
      <c r="F662" s="798">
        <f t="shared" si="80"/>
        <v>0</v>
      </c>
      <c r="G662" s="1167"/>
      <c r="H662" s="968"/>
      <c r="I662" s="641">
        <f t="shared" si="81"/>
        <v>0</v>
      </c>
      <c r="J662" s="968"/>
      <c r="K662" s="798">
        <f t="shared" si="82"/>
        <v>0</v>
      </c>
    </row>
    <row r="663" spans="1:11" ht="12" thickBot="1">
      <c r="A663" s="647" t="s">
        <v>370</v>
      </c>
      <c r="B663" s="665"/>
      <c r="C663" s="968"/>
      <c r="D663" s="1135"/>
      <c r="E663" s="968"/>
      <c r="F663" s="808">
        <f t="shared" si="80"/>
        <v>0</v>
      </c>
      <c r="G663" s="1167"/>
      <c r="H663" s="968"/>
      <c r="I663" s="641">
        <f t="shared" si="81"/>
        <v>0</v>
      </c>
      <c r="J663" s="968"/>
      <c r="K663" s="808">
        <f t="shared" si="82"/>
        <v>0</v>
      </c>
    </row>
    <row r="664" spans="1:11" ht="12" thickBot="1">
      <c r="A664" s="1022" t="s">
        <v>364</v>
      </c>
      <c r="B664" s="810" t="s">
        <v>365</v>
      </c>
      <c r="C664" s="970"/>
      <c r="D664" s="988" t="s">
        <v>293</v>
      </c>
      <c r="E664" s="970"/>
      <c r="F664" s="800">
        <f>SUM(F658:F663)</f>
        <v>0</v>
      </c>
      <c r="G664" s="810" t="s">
        <v>266</v>
      </c>
      <c r="H664" s="970"/>
      <c r="I664" s="988" t="s">
        <v>256</v>
      </c>
      <c r="J664" s="970"/>
      <c r="K664" s="800">
        <f>SUM(K658:K663)</f>
        <v>0</v>
      </c>
    </row>
    <row r="665" spans="1:11">
      <c r="A665" s="855"/>
      <c r="B665" s="994"/>
      <c r="C665" s="968"/>
      <c r="D665" s="994"/>
      <c r="E665" s="968"/>
      <c r="F665" s="1035"/>
      <c r="G665" s="994"/>
      <c r="H665" s="991"/>
      <c r="I665" s="994"/>
      <c r="J665" s="968"/>
      <c r="K665" s="1035"/>
    </row>
    <row r="666" spans="1:11">
      <c r="A666" s="1021" t="s">
        <v>1281</v>
      </c>
      <c r="B666" s="994"/>
      <c r="C666" s="968"/>
      <c r="D666" s="994"/>
      <c r="E666" s="968"/>
      <c r="F666" s="1035"/>
      <c r="G666" s="994"/>
      <c r="H666" s="991"/>
      <c r="I666" s="994"/>
      <c r="J666" s="968"/>
      <c r="K666" s="1035"/>
    </row>
    <row r="667" spans="1:11" ht="12" thickBot="1">
      <c r="A667" s="1021"/>
      <c r="B667" s="994"/>
      <c r="C667" s="968"/>
      <c r="D667" s="994"/>
      <c r="E667" s="968"/>
      <c r="F667" s="1035"/>
      <c r="G667" s="994"/>
      <c r="H667" s="991"/>
      <c r="I667" s="994"/>
      <c r="J667" s="968"/>
      <c r="K667" s="1035"/>
    </row>
    <row r="668" spans="1:11" ht="12" thickBot="1">
      <c r="A668" s="1026"/>
      <c r="B668" s="905" t="s">
        <v>82</v>
      </c>
      <c r="C668" s="906"/>
      <c r="D668" s="906"/>
      <c r="E668" s="906"/>
      <c r="F668" s="906"/>
      <c r="G668" s="905" t="s">
        <v>83</v>
      </c>
      <c r="H668" s="908"/>
      <c r="I668" s="906"/>
      <c r="J668" s="906"/>
      <c r="K668" s="907"/>
    </row>
    <row r="669" spans="1:11" ht="12" thickBot="1">
      <c r="A669" s="973" t="s">
        <v>258</v>
      </c>
      <c r="B669" s="905" t="s">
        <v>1184</v>
      </c>
      <c r="C669" s="906"/>
      <c r="D669" s="974" t="s">
        <v>301</v>
      </c>
      <c r="E669" s="906"/>
      <c r="F669" s="906"/>
      <c r="G669" s="905" t="s">
        <v>1184</v>
      </c>
      <c r="H669" s="908"/>
      <c r="I669" s="974" t="s">
        <v>301</v>
      </c>
      <c r="J669" s="906"/>
      <c r="K669" s="907"/>
    </row>
    <row r="670" spans="1:11">
      <c r="A670" s="646" t="s">
        <v>318</v>
      </c>
      <c r="B670" s="666"/>
      <c r="C670" s="819"/>
      <c r="D670" s="632"/>
      <c r="E670" s="632" t="s">
        <v>371</v>
      </c>
      <c r="F670" s="663"/>
      <c r="G670" s="1168">
        <f>B670</f>
        <v>0</v>
      </c>
      <c r="H670" s="1392"/>
      <c r="I670" s="632"/>
      <c r="J670" s="632" t="s">
        <v>371</v>
      </c>
      <c r="K670" s="668"/>
    </row>
    <row r="671" spans="1:11">
      <c r="A671" s="646" t="s">
        <v>319</v>
      </c>
      <c r="B671" s="854"/>
      <c r="C671" s="819"/>
      <c r="D671" s="632"/>
      <c r="E671" s="632" t="s">
        <v>371</v>
      </c>
      <c r="F671" s="663"/>
      <c r="G671" s="1168"/>
      <c r="H671" s="1392"/>
      <c r="I671" s="632"/>
      <c r="J671" s="632" t="s">
        <v>371</v>
      </c>
      <c r="K671" s="668"/>
    </row>
    <row r="672" spans="1:11" ht="12" thickBot="1">
      <c r="A672" s="647" t="s">
        <v>329</v>
      </c>
      <c r="B672" s="666"/>
      <c r="C672" s="1068"/>
      <c r="D672" s="632"/>
      <c r="E672" s="632" t="s">
        <v>371</v>
      </c>
      <c r="F672" s="663"/>
      <c r="G672" s="1168">
        <f>B672</f>
        <v>0</v>
      </c>
      <c r="H672" s="1393"/>
      <c r="I672" s="632"/>
      <c r="J672" s="632" t="s">
        <v>371</v>
      </c>
      <c r="K672" s="668"/>
    </row>
    <row r="673" spans="1:11" ht="12" thickBot="1">
      <c r="A673" s="1022" t="s">
        <v>364</v>
      </c>
      <c r="B673" s="785">
        <f>SUM(B670:B672)</f>
        <v>0</v>
      </c>
      <c r="C673" s="978"/>
      <c r="D673" s="810" t="s">
        <v>228</v>
      </c>
      <c r="E673" s="970"/>
      <c r="F673" s="970"/>
      <c r="G673" s="785">
        <f>SUM(G670:G672)</f>
        <v>0</v>
      </c>
      <c r="H673" s="1036"/>
      <c r="I673" s="810" t="s">
        <v>228</v>
      </c>
      <c r="J673" s="970"/>
      <c r="K673" s="990"/>
    </row>
    <row r="674" spans="1:11">
      <c r="A674" s="855"/>
      <c r="B674" s="915"/>
      <c r="C674" s="915"/>
      <c r="D674" s="994"/>
      <c r="E674" s="968"/>
      <c r="F674" s="843" t="s">
        <v>1249</v>
      </c>
      <c r="G674" s="1406" t="e">
        <f>XONNOM &amp; " " &amp; XONPRE &amp; ", " &amp; TEXT(XONCP,"@@@@") &amp; " " &amp; XONLOC</f>
        <v>#VALUE!</v>
      </c>
      <c r="H674" s="1406"/>
      <c r="I674" s="1406"/>
      <c r="J674" s="1406"/>
      <c r="K674" s="1406"/>
    </row>
    <row r="675" spans="1:11">
      <c r="A675" s="855"/>
      <c r="B675" s="915"/>
      <c r="C675" s="915"/>
      <c r="D675" s="994"/>
      <c r="E675" s="968"/>
      <c r="F675" s="843" t="s">
        <v>68</v>
      </c>
      <c r="G675" s="1430">
        <f>J6</f>
        <v>0</v>
      </c>
      <c r="H675" s="1430"/>
      <c r="I675" s="994"/>
      <c r="J675" s="968"/>
      <c r="K675" s="968"/>
    </row>
    <row r="676" spans="1:11">
      <c r="A676" s="1037" t="s">
        <v>1282</v>
      </c>
      <c r="B676" s="915"/>
      <c r="C676" s="915"/>
      <c r="D676" s="994"/>
      <c r="E676" s="968"/>
      <c r="F676" s="968"/>
      <c r="G676" s="915"/>
      <c r="H676" s="914"/>
      <c r="I676" s="994"/>
      <c r="J676" s="968"/>
      <c r="K676" s="968"/>
    </row>
    <row r="677" spans="1:11">
      <c r="A677" s="1021" t="s">
        <v>1283</v>
      </c>
      <c r="B677" s="915"/>
      <c r="C677" s="915"/>
      <c r="D677" s="994"/>
      <c r="E677" s="968"/>
      <c r="F677" s="968"/>
      <c r="G677" s="915"/>
      <c r="H677" s="914"/>
      <c r="I677" s="994"/>
      <c r="J677" s="968"/>
      <c r="K677" s="968"/>
    </row>
    <row r="678" spans="1:11" ht="14.25" customHeight="1" thickBot="1">
      <c r="A678" s="855"/>
      <c r="B678" s="915"/>
      <c r="C678" s="915"/>
      <c r="D678" s="994"/>
      <c r="E678" s="968"/>
      <c r="F678" s="968"/>
      <c r="G678" s="915"/>
      <c r="H678" s="914"/>
      <c r="I678" s="994"/>
      <c r="J678" s="968"/>
      <c r="K678" s="968"/>
    </row>
    <row r="679" spans="1:11" ht="12" thickBot="1">
      <c r="A679" s="1038"/>
      <c r="B679" s="905"/>
      <c r="C679" s="906" t="s">
        <v>82</v>
      </c>
      <c r="D679" s="1039"/>
      <c r="E679" s="906"/>
      <c r="F679" s="907"/>
      <c r="G679" s="906" t="s">
        <v>83</v>
      </c>
      <c r="H679" s="908"/>
      <c r="I679" s="1039"/>
      <c r="J679" s="906"/>
      <c r="K679" s="907"/>
    </row>
    <row r="680" spans="1:11" ht="12" thickBot="1">
      <c r="A680" s="973" t="s">
        <v>258</v>
      </c>
      <c r="B680" s="905" t="s">
        <v>372</v>
      </c>
      <c r="C680" s="907"/>
      <c r="D680" s="905" t="s">
        <v>1188</v>
      </c>
      <c r="E680" s="907"/>
      <c r="F680" s="1040" t="s">
        <v>1187</v>
      </c>
      <c r="G680" s="906" t="s">
        <v>373</v>
      </c>
      <c r="H680" s="1041"/>
      <c r="I680" s="905" t="s">
        <v>1188</v>
      </c>
      <c r="J680" s="907"/>
      <c r="K680" s="1040" t="s">
        <v>1187</v>
      </c>
    </row>
    <row r="681" spans="1:11">
      <c r="A681" s="644" t="s">
        <v>374</v>
      </c>
      <c r="B681" s="671"/>
      <c r="C681" s="968"/>
      <c r="D681" s="1117"/>
      <c r="E681" s="1082"/>
      <c r="F681" s="799">
        <f t="shared" ref="F681:F686" si="83">B681*D681</f>
        <v>0</v>
      </c>
      <c r="G681" s="1169">
        <f>B681</f>
        <v>0</v>
      </c>
      <c r="H681" s="968">
        <f t="shared" ref="H681:I684" si="84">C681</f>
        <v>0</v>
      </c>
      <c r="I681" s="672">
        <f t="shared" si="84"/>
        <v>0</v>
      </c>
      <c r="J681" s="1082"/>
      <c r="K681" s="799">
        <f t="shared" ref="K681:K686" si="85">G681*I681</f>
        <v>0</v>
      </c>
    </row>
    <row r="682" spans="1:11">
      <c r="A682" s="1258" t="s">
        <v>375</v>
      </c>
      <c r="B682" s="671"/>
      <c r="C682" s="968"/>
      <c r="D682" s="1113"/>
      <c r="E682" s="819"/>
      <c r="F682" s="799">
        <f t="shared" si="83"/>
        <v>0</v>
      </c>
      <c r="G682" s="1169">
        <f>B682</f>
        <v>0</v>
      </c>
      <c r="H682" s="968">
        <f t="shared" si="84"/>
        <v>0</v>
      </c>
      <c r="I682" s="673">
        <f t="shared" si="84"/>
        <v>0</v>
      </c>
      <c r="J682" s="819"/>
      <c r="K682" s="799">
        <f t="shared" si="85"/>
        <v>0</v>
      </c>
    </row>
    <row r="683" spans="1:11">
      <c r="A683" s="646" t="s">
        <v>376</v>
      </c>
      <c r="B683" s="671"/>
      <c r="C683" s="968"/>
      <c r="D683" s="1113"/>
      <c r="E683" s="819"/>
      <c r="F683" s="799">
        <f t="shared" si="83"/>
        <v>0</v>
      </c>
      <c r="G683" s="1169">
        <f>B683</f>
        <v>0</v>
      </c>
      <c r="H683" s="968">
        <f t="shared" si="84"/>
        <v>0</v>
      </c>
      <c r="I683" s="673">
        <f t="shared" si="84"/>
        <v>0</v>
      </c>
      <c r="J683" s="819"/>
      <c r="K683" s="799">
        <f t="shared" si="85"/>
        <v>0</v>
      </c>
    </row>
    <row r="684" spans="1:11">
      <c r="A684" s="646" t="s">
        <v>377</v>
      </c>
      <c r="B684" s="671"/>
      <c r="C684" s="968"/>
      <c r="D684" s="1113"/>
      <c r="E684" s="819"/>
      <c r="F684" s="799">
        <f t="shared" si="83"/>
        <v>0</v>
      </c>
      <c r="G684" s="1169">
        <f>B684</f>
        <v>0</v>
      </c>
      <c r="H684" s="968">
        <f t="shared" si="84"/>
        <v>0</v>
      </c>
      <c r="I684" s="673">
        <f t="shared" si="84"/>
        <v>0</v>
      </c>
      <c r="J684" s="819"/>
      <c r="K684" s="799">
        <f t="shared" si="85"/>
        <v>0</v>
      </c>
    </row>
    <row r="685" spans="1:11">
      <c r="A685" s="674"/>
      <c r="B685" s="633"/>
      <c r="C685" s="968"/>
      <c r="D685" s="530"/>
      <c r="E685" s="819"/>
      <c r="F685" s="799">
        <f t="shared" si="83"/>
        <v>0</v>
      </c>
      <c r="G685" s="633"/>
      <c r="H685" s="968"/>
      <c r="I685" s="530"/>
      <c r="J685" s="819"/>
      <c r="K685" s="799">
        <f t="shared" si="85"/>
        <v>0</v>
      </c>
    </row>
    <row r="686" spans="1:11" ht="12" thickBot="1">
      <c r="A686" s="651"/>
      <c r="B686" s="633"/>
      <c r="C686" s="968"/>
      <c r="D686" s="675"/>
      <c r="E686" s="1068"/>
      <c r="F686" s="799">
        <f t="shared" si="83"/>
        <v>0</v>
      </c>
      <c r="G686" s="633"/>
      <c r="H686" s="968"/>
      <c r="I686" s="675"/>
      <c r="J686" s="1068"/>
      <c r="K686" s="799">
        <f t="shared" si="85"/>
        <v>0</v>
      </c>
    </row>
    <row r="687" spans="1:11" ht="12" thickBot="1">
      <c r="A687" s="1022" t="s">
        <v>364</v>
      </c>
      <c r="B687" s="790" t="s">
        <v>378</v>
      </c>
      <c r="C687" s="990"/>
      <c r="D687" s="790"/>
      <c r="E687" s="990"/>
      <c r="F687" s="818">
        <f>SUM(F681:F686)</f>
        <v>0</v>
      </c>
      <c r="G687" s="970" t="s">
        <v>379</v>
      </c>
      <c r="H687" s="990"/>
      <c r="I687" s="790"/>
      <c r="J687" s="990"/>
      <c r="K687" s="818">
        <f>SUM(K681:K686)</f>
        <v>0</v>
      </c>
    </row>
    <row r="688" spans="1:11">
      <c r="A688" s="855"/>
      <c r="B688" s="968"/>
      <c r="C688" s="968"/>
      <c r="D688" s="968"/>
      <c r="E688" s="968"/>
      <c r="F688" s="968"/>
      <c r="G688" s="968"/>
      <c r="H688" s="991"/>
      <c r="I688" s="968"/>
      <c r="J688" s="968"/>
      <c r="K688" s="968"/>
    </row>
    <row r="689" spans="1:11">
      <c r="A689" s="1042"/>
      <c r="B689" s="968"/>
      <c r="C689" s="968"/>
      <c r="D689" s="968"/>
      <c r="E689" s="968"/>
      <c r="F689" s="968"/>
      <c r="G689" s="968"/>
      <c r="H689" s="991"/>
      <c r="I689" s="968"/>
      <c r="J689" s="968"/>
      <c r="K689" s="968"/>
    </row>
    <row r="690" spans="1:11" ht="12" customHeight="1">
      <c r="A690" s="1021" t="s">
        <v>1284</v>
      </c>
      <c r="B690" s="968"/>
      <c r="C690" s="968"/>
      <c r="D690" s="968"/>
      <c r="E690" s="968"/>
      <c r="F690" s="968"/>
      <c r="G690" s="968"/>
      <c r="H690" s="991"/>
      <c r="I690" s="968"/>
      <c r="J690" s="968"/>
      <c r="K690" s="968"/>
    </row>
    <row r="691" spans="1:11" ht="12.75" customHeight="1" thickBot="1">
      <c r="A691" s="855"/>
      <c r="B691" s="915"/>
      <c r="C691" s="915"/>
      <c r="D691" s="994"/>
      <c r="E691" s="968"/>
      <c r="F691" s="968"/>
      <c r="G691" s="915"/>
      <c r="H691" s="914"/>
      <c r="I691" s="994"/>
      <c r="J691" s="968"/>
      <c r="K691" s="968"/>
    </row>
    <row r="692" spans="1:11" ht="12.75" customHeight="1" thickBot="1">
      <c r="A692" s="1038"/>
      <c r="B692" s="905"/>
      <c r="C692" s="906" t="s">
        <v>82</v>
      </c>
      <c r="D692" s="1039"/>
      <c r="E692" s="906"/>
      <c r="F692" s="907"/>
      <c r="G692" s="905" t="s">
        <v>83</v>
      </c>
      <c r="H692" s="908"/>
      <c r="I692" s="1039"/>
      <c r="J692" s="906"/>
      <c r="K692" s="907"/>
    </row>
    <row r="693" spans="1:11" ht="13.5" customHeight="1" thickBot="1">
      <c r="A693" s="973" t="s">
        <v>258</v>
      </c>
      <c r="B693" s="905" t="s">
        <v>372</v>
      </c>
      <c r="C693" s="906"/>
      <c r="D693" s="905" t="s">
        <v>1188</v>
      </c>
      <c r="E693" s="907"/>
      <c r="F693" s="1040" t="s">
        <v>1187</v>
      </c>
      <c r="G693" s="905" t="s">
        <v>373</v>
      </c>
      <c r="H693" s="1041"/>
      <c r="I693" s="905" t="s">
        <v>1188</v>
      </c>
      <c r="J693" s="907"/>
      <c r="K693" s="1040" t="s">
        <v>1187</v>
      </c>
    </row>
    <row r="694" spans="1:11" ht="13.5" customHeight="1">
      <c r="A694" s="644" t="s">
        <v>380</v>
      </c>
      <c r="B694" s="671"/>
      <c r="C694" s="968"/>
      <c r="D694" s="1117"/>
      <c r="E694" s="1082"/>
      <c r="F694" s="799">
        <f>B694*D694</f>
        <v>0</v>
      </c>
      <c r="G694" s="1169">
        <f>B694</f>
        <v>0</v>
      </c>
      <c r="H694" s="968"/>
      <c r="I694" s="672">
        <f>D694</f>
        <v>0</v>
      </c>
      <c r="J694" s="1082"/>
      <c r="K694" s="799">
        <f>G694*I694</f>
        <v>0</v>
      </c>
    </row>
    <row r="695" spans="1:11" ht="14.25" customHeight="1">
      <c r="A695" s="646" t="s">
        <v>381</v>
      </c>
      <c r="B695" s="671"/>
      <c r="C695" s="968"/>
      <c r="D695" s="1113"/>
      <c r="E695" s="819"/>
      <c r="F695" s="799">
        <f t="shared" ref="F695:F708" si="86">B695*D695</f>
        <v>0</v>
      </c>
      <c r="G695" s="1169">
        <f>B695</f>
        <v>0</v>
      </c>
      <c r="H695" s="968"/>
      <c r="I695" s="673">
        <f t="shared" ref="I695:I720" si="87">D695</f>
        <v>0</v>
      </c>
      <c r="J695" s="819"/>
      <c r="K695" s="799">
        <f t="shared" ref="K695:K708" si="88">G695*I695</f>
        <v>0</v>
      </c>
    </row>
    <row r="696" spans="1:11" ht="12.75" customHeight="1">
      <c r="A696" s="1258" t="s">
        <v>375</v>
      </c>
      <c r="B696" s="671"/>
      <c r="C696" s="968"/>
      <c r="D696" s="1113"/>
      <c r="E696" s="819"/>
      <c r="F696" s="799">
        <f t="shared" si="86"/>
        <v>0</v>
      </c>
      <c r="G696" s="1169">
        <f>B696</f>
        <v>0</v>
      </c>
      <c r="H696" s="968"/>
      <c r="I696" s="673">
        <f t="shared" si="87"/>
        <v>0</v>
      </c>
      <c r="J696" s="819"/>
      <c r="K696" s="799">
        <f t="shared" si="88"/>
        <v>0</v>
      </c>
    </row>
    <row r="697" spans="1:11" ht="13.5" customHeight="1">
      <c r="A697" s="646" t="s">
        <v>376</v>
      </c>
      <c r="B697" s="671"/>
      <c r="C697" s="968"/>
      <c r="D697" s="1113"/>
      <c r="E697" s="819"/>
      <c r="F697" s="799">
        <f t="shared" si="86"/>
        <v>0</v>
      </c>
      <c r="G697" s="1169">
        <f>B697</f>
        <v>0</v>
      </c>
      <c r="H697" s="968"/>
      <c r="I697" s="673">
        <f t="shared" si="87"/>
        <v>0</v>
      </c>
      <c r="J697" s="819"/>
      <c r="K697" s="799">
        <f t="shared" si="88"/>
        <v>0</v>
      </c>
    </row>
    <row r="698" spans="1:11" ht="12.75" customHeight="1">
      <c r="A698" s="646" t="s">
        <v>382</v>
      </c>
      <c r="B698" s="671"/>
      <c r="C698" s="968"/>
      <c r="D698" s="1113"/>
      <c r="E698" s="819"/>
      <c r="F698" s="799">
        <f t="shared" si="86"/>
        <v>0</v>
      </c>
      <c r="G698" s="1169">
        <f>B698</f>
        <v>0</v>
      </c>
      <c r="H698" s="968"/>
      <c r="I698" s="673">
        <f t="shared" si="87"/>
        <v>0</v>
      </c>
      <c r="J698" s="819"/>
      <c r="K698" s="799">
        <f t="shared" si="88"/>
        <v>0</v>
      </c>
    </row>
    <row r="699" spans="1:11" ht="12.75" customHeight="1">
      <c r="A699" s="646" t="s">
        <v>383</v>
      </c>
      <c r="B699" s="671"/>
      <c r="C699" s="968"/>
      <c r="D699" s="1113"/>
      <c r="E699" s="819"/>
      <c r="F699" s="799">
        <f t="shared" si="86"/>
        <v>0</v>
      </c>
      <c r="G699" s="1169"/>
      <c r="H699" s="968"/>
      <c r="I699" s="673">
        <f t="shared" si="87"/>
        <v>0</v>
      </c>
      <c r="J699" s="819"/>
      <c r="K699" s="799">
        <f t="shared" si="88"/>
        <v>0</v>
      </c>
    </row>
    <row r="700" spans="1:11" ht="13.5" customHeight="1">
      <c r="A700" s="646" t="s">
        <v>384</v>
      </c>
      <c r="B700" s="671"/>
      <c r="C700" s="968"/>
      <c r="D700" s="1113"/>
      <c r="E700" s="819"/>
      <c r="F700" s="799">
        <f t="shared" si="86"/>
        <v>0</v>
      </c>
      <c r="G700" s="1169">
        <f t="shared" ref="G700:G719" si="89">B700</f>
        <v>0</v>
      </c>
      <c r="H700" s="968"/>
      <c r="I700" s="673">
        <f t="shared" si="87"/>
        <v>0</v>
      </c>
      <c r="J700" s="819"/>
      <c r="K700" s="799">
        <f t="shared" si="88"/>
        <v>0</v>
      </c>
    </row>
    <row r="701" spans="1:11" ht="13.5" customHeight="1">
      <c r="A701" s="646" t="s">
        <v>385</v>
      </c>
      <c r="B701" s="671"/>
      <c r="C701" s="968"/>
      <c r="D701" s="1113"/>
      <c r="E701" s="819"/>
      <c r="F701" s="799">
        <f t="shared" si="86"/>
        <v>0</v>
      </c>
      <c r="G701" s="1169">
        <f t="shared" si="89"/>
        <v>0</v>
      </c>
      <c r="H701" s="968"/>
      <c r="I701" s="673">
        <f t="shared" si="87"/>
        <v>0</v>
      </c>
      <c r="J701" s="819"/>
      <c r="K701" s="799">
        <f t="shared" si="88"/>
        <v>0</v>
      </c>
    </row>
    <row r="702" spans="1:11" ht="12.75" customHeight="1">
      <c r="A702" s="646" t="s">
        <v>386</v>
      </c>
      <c r="B702" s="671"/>
      <c r="C702" s="968"/>
      <c r="D702" s="1113"/>
      <c r="E702" s="819"/>
      <c r="F702" s="799">
        <f t="shared" si="86"/>
        <v>0</v>
      </c>
      <c r="G702" s="1169">
        <f t="shared" si="89"/>
        <v>0</v>
      </c>
      <c r="H702" s="968"/>
      <c r="I702" s="673">
        <f t="shared" si="87"/>
        <v>0</v>
      </c>
      <c r="J702" s="819"/>
      <c r="K702" s="799">
        <f t="shared" si="88"/>
        <v>0</v>
      </c>
    </row>
    <row r="703" spans="1:11" ht="12.75" customHeight="1">
      <c r="A703" s="646" t="s">
        <v>387</v>
      </c>
      <c r="B703" s="671"/>
      <c r="C703" s="968"/>
      <c r="D703" s="1113"/>
      <c r="E703" s="819"/>
      <c r="F703" s="799">
        <f t="shared" si="86"/>
        <v>0</v>
      </c>
      <c r="G703" s="1169">
        <f t="shared" si="89"/>
        <v>0</v>
      </c>
      <c r="H703" s="968"/>
      <c r="I703" s="673">
        <f t="shared" si="87"/>
        <v>0</v>
      </c>
      <c r="J703" s="819"/>
      <c r="K703" s="799">
        <f t="shared" si="88"/>
        <v>0</v>
      </c>
    </row>
    <row r="704" spans="1:11" ht="13.5" customHeight="1">
      <c r="A704" s="646" t="s">
        <v>388</v>
      </c>
      <c r="B704" s="601"/>
      <c r="C704" s="915"/>
      <c r="D704" s="1141"/>
      <c r="E704" s="819"/>
      <c r="F704" s="799">
        <f t="shared" si="86"/>
        <v>0</v>
      </c>
      <c r="G704" s="852">
        <f t="shared" si="89"/>
        <v>0</v>
      </c>
      <c r="H704" s="915"/>
      <c r="I704" s="676">
        <f t="shared" si="87"/>
        <v>0</v>
      </c>
      <c r="J704" s="819"/>
      <c r="K704" s="799">
        <f t="shared" si="88"/>
        <v>0</v>
      </c>
    </row>
    <row r="705" spans="1:11" ht="12.75" customHeight="1">
      <c r="A705" s="646" t="s">
        <v>389</v>
      </c>
      <c r="B705" s="601"/>
      <c r="C705" s="915"/>
      <c r="D705" s="1141"/>
      <c r="E705" s="819"/>
      <c r="F705" s="799">
        <f t="shared" si="86"/>
        <v>0</v>
      </c>
      <c r="G705" s="852">
        <f t="shared" si="89"/>
        <v>0</v>
      </c>
      <c r="H705" s="915"/>
      <c r="I705" s="676">
        <f t="shared" si="87"/>
        <v>0</v>
      </c>
      <c r="J705" s="819"/>
      <c r="K705" s="799">
        <f t="shared" si="88"/>
        <v>0</v>
      </c>
    </row>
    <row r="706" spans="1:11" ht="13.5" customHeight="1">
      <c r="A706" s="646" t="s">
        <v>390</v>
      </c>
      <c r="B706" s="601"/>
      <c r="C706" s="915"/>
      <c r="D706" s="1141"/>
      <c r="E706" s="819"/>
      <c r="F706" s="799">
        <f t="shared" si="86"/>
        <v>0</v>
      </c>
      <c r="G706" s="852">
        <f t="shared" si="89"/>
        <v>0</v>
      </c>
      <c r="H706" s="915"/>
      <c r="I706" s="676">
        <f t="shared" si="87"/>
        <v>0</v>
      </c>
      <c r="J706" s="819"/>
      <c r="K706" s="799">
        <f t="shared" si="88"/>
        <v>0</v>
      </c>
    </row>
    <row r="707" spans="1:11" ht="12" customHeight="1">
      <c r="A707" s="646" t="s">
        <v>391</v>
      </c>
      <c r="B707" s="601"/>
      <c r="C707" s="915"/>
      <c r="D707" s="1141"/>
      <c r="E707" s="819"/>
      <c r="F707" s="799">
        <f t="shared" si="86"/>
        <v>0</v>
      </c>
      <c r="G707" s="852">
        <f t="shared" si="89"/>
        <v>0</v>
      </c>
      <c r="H707" s="915"/>
      <c r="I707" s="676">
        <f t="shared" si="87"/>
        <v>0</v>
      </c>
      <c r="J707" s="819"/>
      <c r="K707" s="799">
        <f t="shared" si="88"/>
        <v>0</v>
      </c>
    </row>
    <row r="708" spans="1:11" ht="13.5" customHeight="1">
      <c r="A708" s="677"/>
      <c r="B708" s="678"/>
      <c r="C708" s="1309"/>
      <c r="D708" s="680"/>
      <c r="E708" s="1394"/>
      <c r="F708" s="819">
        <f t="shared" si="86"/>
        <v>0</v>
      </c>
      <c r="G708" s="678">
        <f t="shared" si="89"/>
        <v>0</v>
      </c>
      <c r="H708" s="1309"/>
      <c r="I708" s="680">
        <f t="shared" si="87"/>
        <v>0</v>
      </c>
      <c r="J708" s="1394"/>
      <c r="K708" s="819">
        <f t="shared" si="88"/>
        <v>0</v>
      </c>
    </row>
    <row r="709" spans="1:11" ht="13.5" customHeight="1">
      <c r="A709" s="682" t="s">
        <v>392</v>
      </c>
      <c r="B709" s="683"/>
      <c r="C709" s="915"/>
      <c r="D709" s="684"/>
      <c r="E709" s="819"/>
      <c r="F709" s="685"/>
      <c r="G709" s="683">
        <f t="shared" si="89"/>
        <v>0</v>
      </c>
      <c r="H709" s="915"/>
      <c r="I709" s="684">
        <f t="shared" si="87"/>
        <v>0</v>
      </c>
      <c r="J709" s="819"/>
      <c r="K709" s="685"/>
    </row>
    <row r="710" spans="1:11" ht="13.5" customHeight="1">
      <c r="A710" s="682" t="s">
        <v>393</v>
      </c>
      <c r="B710" s="686"/>
      <c r="C710" s="915"/>
      <c r="D710" s="1141"/>
      <c r="E710" s="819"/>
      <c r="F710" s="820">
        <f>B710*D710</f>
        <v>0</v>
      </c>
      <c r="G710" s="1227">
        <f t="shared" si="89"/>
        <v>0</v>
      </c>
      <c r="H710" s="915"/>
      <c r="I710" s="676">
        <f t="shared" si="87"/>
        <v>0</v>
      </c>
      <c r="J710" s="819"/>
      <c r="K710" s="820">
        <f>G710*I710</f>
        <v>0</v>
      </c>
    </row>
    <row r="711" spans="1:11" ht="13.5" customHeight="1">
      <c r="A711" s="687" t="s">
        <v>394</v>
      </c>
      <c r="B711" s="688"/>
      <c r="C711" s="1309"/>
      <c r="D711" s="1142"/>
      <c r="E711" s="1394"/>
      <c r="F711" s="820">
        <f>B711*D711</f>
        <v>0</v>
      </c>
      <c r="G711" s="1228">
        <f t="shared" si="89"/>
        <v>0</v>
      </c>
      <c r="H711" s="1309"/>
      <c r="I711" s="689">
        <f t="shared" si="87"/>
        <v>0</v>
      </c>
      <c r="J711" s="1394"/>
      <c r="K711" s="820">
        <f>G711*I711</f>
        <v>0</v>
      </c>
    </row>
    <row r="712" spans="1:11" ht="15" customHeight="1">
      <c r="A712" s="682" t="s">
        <v>395</v>
      </c>
      <c r="B712" s="683"/>
      <c r="C712" s="915"/>
      <c r="D712" s="684"/>
      <c r="E712" s="819"/>
      <c r="F712" s="685"/>
      <c r="G712" s="683">
        <f t="shared" si="89"/>
        <v>0</v>
      </c>
      <c r="H712" s="915"/>
      <c r="I712" s="684">
        <f t="shared" si="87"/>
        <v>0</v>
      </c>
      <c r="J712" s="819"/>
      <c r="K712" s="685"/>
    </row>
    <row r="713" spans="1:11" ht="15" customHeight="1">
      <c r="A713" s="682" t="s">
        <v>393</v>
      </c>
      <c r="B713" s="686"/>
      <c r="C713" s="915"/>
      <c r="D713" s="1141"/>
      <c r="E713" s="819"/>
      <c r="F713" s="820">
        <f>B713*D713</f>
        <v>0</v>
      </c>
      <c r="G713" s="1227">
        <f t="shared" si="89"/>
        <v>0</v>
      </c>
      <c r="H713" s="915"/>
      <c r="I713" s="676">
        <f t="shared" si="87"/>
        <v>0</v>
      </c>
      <c r="J713" s="819"/>
      <c r="K713" s="820">
        <f>G713*I713</f>
        <v>0</v>
      </c>
    </row>
    <row r="714" spans="1:11" ht="15" customHeight="1">
      <c r="A714" s="687" t="s">
        <v>394</v>
      </c>
      <c r="B714" s="688"/>
      <c r="C714" s="1309"/>
      <c r="D714" s="1142"/>
      <c r="E714" s="1394"/>
      <c r="F714" s="820">
        <f>B714*D714</f>
        <v>0</v>
      </c>
      <c r="G714" s="1228">
        <f t="shared" si="89"/>
        <v>0</v>
      </c>
      <c r="H714" s="1309"/>
      <c r="I714" s="689">
        <f t="shared" si="87"/>
        <v>0</v>
      </c>
      <c r="J714" s="1394"/>
      <c r="K714" s="820">
        <f>G714*I714</f>
        <v>0</v>
      </c>
    </row>
    <row r="715" spans="1:11" ht="15" customHeight="1">
      <c r="A715" s="687" t="s">
        <v>396</v>
      </c>
      <c r="B715" s="688"/>
      <c r="C715" s="1309"/>
      <c r="D715" s="1142"/>
      <c r="E715" s="1394"/>
      <c r="F715" s="821">
        <f>B715*D715</f>
        <v>0</v>
      </c>
      <c r="G715" s="1228">
        <f t="shared" si="89"/>
        <v>0</v>
      </c>
      <c r="H715" s="1309"/>
      <c r="I715" s="689">
        <f t="shared" si="87"/>
        <v>0</v>
      </c>
      <c r="J715" s="1394"/>
      <c r="K715" s="821">
        <f>G715*I715</f>
        <v>0</v>
      </c>
    </row>
    <row r="716" spans="1:11" ht="15" customHeight="1">
      <c r="A716" s="682" t="s">
        <v>397</v>
      </c>
      <c r="B716" s="683"/>
      <c r="C716" s="915"/>
      <c r="D716" s="684"/>
      <c r="E716" s="819"/>
      <c r="F716" s="690"/>
      <c r="G716" s="683">
        <f t="shared" si="89"/>
        <v>0</v>
      </c>
      <c r="H716" s="915"/>
      <c r="I716" s="684">
        <f t="shared" si="87"/>
        <v>0</v>
      </c>
      <c r="J716" s="819"/>
      <c r="K716" s="690"/>
    </row>
    <row r="717" spans="1:11" ht="15" customHeight="1">
      <c r="A717" s="687" t="s">
        <v>398</v>
      </c>
      <c r="B717" s="688"/>
      <c r="C717" s="1309"/>
      <c r="D717" s="1143"/>
      <c r="E717" s="1394"/>
      <c r="F717" s="822">
        <f>B717*D717</f>
        <v>0</v>
      </c>
      <c r="G717" s="1228">
        <f t="shared" si="89"/>
        <v>0</v>
      </c>
      <c r="H717" s="1309"/>
      <c r="I717" s="691">
        <f t="shared" si="87"/>
        <v>0</v>
      </c>
      <c r="J717" s="1394"/>
      <c r="K717" s="822">
        <f>G717*I717</f>
        <v>0</v>
      </c>
    </row>
    <row r="718" spans="1:11" ht="15" customHeight="1">
      <c r="A718" s="687" t="s">
        <v>399</v>
      </c>
      <c r="B718" s="688"/>
      <c r="C718" s="1309"/>
      <c r="D718" s="1143"/>
      <c r="E718" s="1394"/>
      <c r="F718" s="822">
        <f>B718*D718</f>
        <v>0</v>
      </c>
      <c r="G718" s="1228">
        <f t="shared" si="89"/>
        <v>0</v>
      </c>
      <c r="H718" s="1309"/>
      <c r="I718" s="691">
        <f t="shared" si="87"/>
        <v>0</v>
      </c>
      <c r="J718" s="1394"/>
      <c r="K718" s="822">
        <f>G718*I718</f>
        <v>0</v>
      </c>
    </row>
    <row r="719" spans="1:11" ht="15" customHeight="1">
      <c r="A719" s="682"/>
      <c r="B719" s="588"/>
      <c r="C719" s="915"/>
      <c r="D719" s="684"/>
      <c r="E719" s="819"/>
      <c r="F719" s="823">
        <f>B719*D719</f>
        <v>0</v>
      </c>
      <c r="G719" s="588">
        <f t="shared" si="89"/>
        <v>0</v>
      </c>
      <c r="H719" s="915"/>
      <c r="I719" s="684">
        <f t="shared" si="87"/>
        <v>0</v>
      </c>
      <c r="J719" s="819"/>
      <c r="K719" s="823">
        <f>G719*I719</f>
        <v>0</v>
      </c>
    </row>
    <row r="720" spans="1:11" ht="15" customHeight="1" thickBot="1">
      <c r="A720" s="682"/>
      <c r="B720" s="588"/>
      <c r="C720" s="915"/>
      <c r="D720" s="692"/>
      <c r="E720" s="1068"/>
      <c r="F720" s="823">
        <f>B720*D720</f>
        <v>0</v>
      </c>
      <c r="G720" s="588"/>
      <c r="H720" s="915"/>
      <c r="I720" s="692">
        <f t="shared" si="87"/>
        <v>0</v>
      </c>
      <c r="J720" s="1068"/>
      <c r="K720" s="823">
        <f>G720*I720</f>
        <v>0</v>
      </c>
    </row>
    <row r="721" spans="1:11" ht="15" customHeight="1" thickBot="1">
      <c r="A721" s="1024" t="s">
        <v>364</v>
      </c>
      <c r="B721" s="1043" t="s">
        <v>400</v>
      </c>
      <c r="C721" s="976"/>
      <c r="D721" s="1044"/>
      <c r="E721" s="1045"/>
      <c r="F721" s="818">
        <f>SUM(F694:F720)</f>
        <v>0</v>
      </c>
      <c r="G721" s="1043" t="s">
        <v>401</v>
      </c>
      <c r="H721" s="976"/>
      <c r="I721" s="1044"/>
      <c r="J721" s="1045"/>
      <c r="K721" s="818">
        <f>SUM(K694:K720)</f>
        <v>0</v>
      </c>
    </row>
    <row r="722" spans="1:11">
      <c r="A722" s="855"/>
      <c r="B722" s="915"/>
      <c r="C722" s="915"/>
      <c r="D722" s="994"/>
      <c r="E722" s="968"/>
      <c r="F722" s="843" t="s">
        <v>1249</v>
      </c>
      <c r="G722" s="1406" t="e">
        <f>XONNOM &amp; " " &amp; XONPRE &amp; ", " &amp; TEXT(XONCP,"@@@@") &amp; " " &amp; XONLOC</f>
        <v>#VALUE!</v>
      </c>
      <c r="H722" s="1406"/>
      <c r="I722" s="1406"/>
      <c r="J722" s="1406"/>
      <c r="K722" s="1406"/>
    </row>
    <row r="723" spans="1:11">
      <c r="A723" s="855"/>
      <c r="B723" s="915"/>
      <c r="C723" s="915"/>
      <c r="D723" s="994"/>
      <c r="E723" s="968"/>
      <c r="F723" s="843" t="s">
        <v>68</v>
      </c>
      <c r="G723" s="1430">
        <f>J6</f>
        <v>0</v>
      </c>
      <c r="H723" s="1430"/>
      <c r="I723" s="994"/>
      <c r="J723" s="968"/>
      <c r="K723" s="968"/>
    </row>
    <row r="724" spans="1:11" ht="13.5" customHeight="1">
      <c r="A724" s="1021" t="s">
        <v>1285</v>
      </c>
      <c r="B724" s="915"/>
      <c r="C724" s="915"/>
      <c r="D724" s="994"/>
      <c r="E724" s="968"/>
      <c r="F724" s="968"/>
      <c r="G724" s="915"/>
      <c r="H724" s="914"/>
      <c r="I724" s="994"/>
      <c r="J724" s="968"/>
      <c r="K724" s="968"/>
    </row>
    <row r="725" spans="1:11" ht="12.75" customHeight="1" thickBot="1">
      <c r="A725" s="855"/>
      <c r="B725" s="915"/>
      <c r="C725" s="915"/>
      <c r="D725" s="994"/>
      <c r="E725" s="968"/>
      <c r="F725" s="968"/>
      <c r="G725" s="915"/>
      <c r="H725" s="914"/>
      <c r="I725" s="994"/>
      <c r="J725" s="968"/>
      <c r="K725" s="968"/>
    </row>
    <row r="726" spans="1:11" ht="12.75" customHeight="1" thickBot="1">
      <c r="A726" s="1038"/>
      <c r="B726" s="905" t="s">
        <v>82</v>
      </c>
      <c r="C726" s="906"/>
      <c r="D726" s="1039"/>
      <c r="E726" s="906"/>
      <c r="F726" s="907"/>
      <c r="G726" s="905" t="s">
        <v>83</v>
      </c>
      <c r="H726" s="908"/>
      <c r="I726" s="1039"/>
      <c r="J726" s="906"/>
      <c r="K726" s="907"/>
    </row>
    <row r="727" spans="1:11" ht="12" thickBot="1">
      <c r="A727" s="973" t="s">
        <v>258</v>
      </c>
      <c r="B727" s="905" t="s">
        <v>281</v>
      </c>
      <c r="C727" s="907"/>
      <c r="D727" s="905" t="s">
        <v>1189</v>
      </c>
      <c r="E727" s="907"/>
      <c r="F727" s="1040" t="s">
        <v>1187</v>
      </c>
      <c r="G727" s="905" t="s">
        <v>281</v>
      </c>
      <c r="H727" s="1041"/>
      <c r="I727" s="905" t="s">
        <v>1189</v>
      </c>
      <c r="J727" s="907"/>
      <c r="K727" s="1040" t="s">
        <v>1187</v>
      </c>
    </row>
    <row r="728" spans="1:11">
      <c r="A728" s="644" t="s">
        <v>402</v>
      </c>
      <c r="B728" s="659"/>
      <c r="C728" s="884"/>
      <c r="D728" s="1117"/>
      <c r="E728" s="1082"/>
      <c r="F728" s="799">
        <f>B728*D728</f>
        <v>0</v>
      </c>
      <c r="G728" s="1155">
        <f>B728</f>
        <v>0</v>
      </c>
      <c r="H728" s="884">
        <f t="shared" ref="H728:I743" si="90">C728</f>
        <v>0</v>
      </c>
      <c r="I728" s="672">
        <f t="shared" si="90"/>
        <v>0</v>
      </c>
      <c r="J728" s="1082"/>
      <c r="K728" s="799">
        <f>G728*I728</f>
        <v>0</v>
      </c>
    </row>
    <row r="729" spans="1:11">
      <c r="A729" s="646" t="s">
        <v>381</v>
      </c>
      <c r="B729" s="659"/>
      <c r="C729" s="884"/>
      <c r="D729" s="1113"/>
      <c r="E729" s="819"/>
      <c r="F729" s="799">
        <f>B729*D729</f>
        <v>0</v>
      </c>
      <c r="G729" s="1155">
        <f t="shared" ref="G729:G757" si="91">B729</f>
        <v>0</v>
      </c>
      <c r="H729" s="884">
        <f t="shared" si="90"/>
        <v>0</v>
      </c>
      <c r="I729" s="673">
        <f t="shared" si="90"/>
        <v>0</v>
      </c>
      <c r="J729" s="819"/>
      <c r="K729" s="799">
        <f t="shared" ref="K729:K744" si="92">G729*I729</f>
        <v>0</v>
      </c>
    </row>
    <row r="730" spans="1:11">
      <c r="A730" s="646" t="s">
        <v>403</v>
      </c>
      <c r="B730" s="659"/>
      <c r="C730" s="884"/>
      <c r="D730" s="1113"/>
      <c r="E730" s="819"/>
      <c r="F730" s="799">
        <f t="shared" ref="F730:F744" si="93">B730*D730</f>
        <v>0</v>
      </c>
      <c r="G730" s="1155">
        <f t="shared" si="91"/>
        <v>0</v>
      </c>
      <c r="H730" s="884">
        <f t="shared" si="90"/>
        <v>0</v>
      </c>
      <c r="I730" s="673">
        <f t="shared" si="90"/>
        <v>0</v>
      </c>
      <c r="J730" s="819"/>
      <c r="K730" s="799">
        <f t="shared" si="92"/>
        <v>0</v>
      </c>
    </row>
    <row r="731" spans="1:11">
      <c r="A731" s="646" t="s">
        <v>404</v>
      </c>
      <c r="B731" s="659"/>
      <c r="C731" s="884"/>
      <c r="D731" s="1113"/>
      <c r="E731" s="819"/>
      <c r="F731" s="799">
        <f t="shared" si="93"/>
        <v>0</v>
      </c>
      <c r="G731" s="1155">
        <f t="shared" si="91"/>
        <v>0</v>
      </c>
      <c r="H731" s="884">
        <f t="shared" si="90"/>
        <v>0</v>
      </c>
      <c r="I731" s="673">
        <f t="shared" si="90"/>
        <v>0</v>
      </c>
      <c r="J731" s="819"/>
      <c r="K731" s="799">
        <f t="shared" si="92"/>
        <v>0</v>
      </c>
    </row>
    <row r="732" spans="1:11">
      <c r="A732" s="646" t="s">
        <v>405</v>
      </c>
      <c r="B732" s="659"/>
      <c r="C732" s="884"/>
      <c r="D732" s="1113"/>
      <c r="E732" s="819"/>
      <c r="F732" s="799">
        <f t="shared" si="93"/>
        <v>0</v>
      </c>
      <c r="G732" s="1155">
        <f t="shared" si="91"/>
        <v>0</v>
      </c>
      <c r="H732" s="884">
        <f t="shared" si="90"/>
        <v>0</v>
      </c>
      <c r="I732" s="673">
        <f t="shared" si="90"/>
        <v>0</v>
      </c>
      <c r="J732" s="819"/>
      <c r="K732" s="799">
        <f t="shared" si="92"/>
        <v>0</v>
      </c>
    </row>
    <row r="733" spans="1:11">
      <c r="A733" s="646" t="s">
        <v>406</v>
      </c>
      <c r="B733" s="659"/>
      <c r="C733" s="884"/>
      <c r="D733" s="1113"/>
      <c r="E733" s="819"/>
      <c r="F733" s="799">
        <f t="shared" si="93"/>
        <v>0</v>
      </c>
      <c r="G733" s="1155">
        <f t="shared" si="91"/>
        <v>0</v>
      </c>
      <c r="H733" s="884">
        <f t="shared" si="90"/>
        <v>0</v>
      </c>
      <c r="I733" s="673">
        <f t="shared" si="90"/>
        <v>0</v>
      </c>
      <c r="J733" s="819"/>
      <c r="K733" s="799">
        <f t="shared" si="92"/>
        <v>0</v>
      </c>
    </row>
    <row r="734" spans="1:11">
      <c r="A734" s="646" t="s">
        <v>407</v>
      </c>
      <c r="B734" s="659"/>
      <c r="C734" s="884"/>
      <c r="D734" s="1113"/>
      <c r="E734" s="819"/>
      <c r="F734" s="799">
        <f t="shared" si="93"/>
        <v>0</v>
      </c>
      <c r="G734" s="1155">
        <f t="shared" si="91"/>
        <v>0</v>
      </c>
      <c r="H734" s="884">
        <f t="shared" si="90"/>
        <v>0</v>
      </c>
      <c r="I734" s="673">
        <f t="shared" si="90"/>
        <v>0</v>
      </c>
      <c r="J734" s="819"/>
      <c r="K734" s="799">
        <f t="shared" si="92"/>
        <v>0</v>
      </c>
    </row>
    <row r="735" spans="1:11">
      <c r="A735" s="646"/>
      <c r="B735" s="660"/>
      <c r="C735" s="884"/>
      <c r="D735" s="530"/>
      <c r="E735" s="819"/>
      <c r="F735" s="824">
        <f t="shared" si="93"/>
        <v>0</v>
      </c>
      <c r="G735" s="1229">
        <f t="shared" si="91"/>
        <v>0</v>
      </c>
      <c r="H735" s="884">
        <f t="shared" si="90"/>
        <v>0</v>
      </c>
      <c r="I735" s="530">
        <f t="shared" si="90"/>
        <v>0</v>
      </c>
      <c r="J735" s="819"/>
      <c r="K735" s="824">
        <f t="shared" si="92"/>
        <v>0</v>
      </c>
    </row>
    <row r="736" spans="1:11">
      <c r="A736" s="646" t="s">
        <v>385</v>
      </c>
      <c r="B736" s="659"/>
      <c r="C736" s="884"/>
      <c r="D736" s="1113"/>
      <c r="E736" s="819"/>
      <c r="F736" s="799">
        <f t="shared" si="93"/>
        <v>0</v>
      </c>
      <c r="G736" s="1155">
        <f t="shared" si="91"/>
        <v>0</v>
      </c>
      <c r="H736" s="884">
        <f t="shared" si="90"/>
        <v>0</v>
      </c>
      <c r="I736" s="673">
        <f t="shared" si="90"/>
        <v>0</v>
      </c>
      <c r="J736" s="819"/>
      <c r="K736" s="799">
        <f t="shared" si="92"/>
        <v>0</v>
      </c>
    </row>
    <row r="737" spans="1:11">
      <c r="A737" s="646" t="s">
        <v>408</v>
      </c>
      <c r="B737" s="659"/>
      <c r="C737" s="884"/>
      <c r="D737" s="1113"/>
      <c r="E737" s="819"/>
      <c r="F737" s="799">
        <f t="shared" si="93"/>
        <v>0</v>
      </c>
      <c r="G737" s="1155">
        <f t="shared" si="91"/>
        <v>0</v>
      </c>
      <c r="H737" s="884">
        <f t="shared" si="90"/>
        <v>0</v>
      </c>
      <c r="I737" s="673">
        <f t="shared" si="90"/>
        <v>0</v>
      </c>
      <c r="J737" s="819"/>
      <c r="K737" s="799">
        <f t="shared" si="92"/>
        <v>0</v>
      </c>
    </row>
    <row r="738" spans="1:11">
      <c r="A738" s="646" t="s">
        <v>387</v>
      </c>
      <c r="B738" s="659"/>
      <c r="C738" s="884"/>
      <c r="D738" s="1113"/>
      <c r="E738" s="819"/>
      <c r="F738" s="799">
        <f t="shared" si="93"/>
        <v>0</v>
      </c>
      <c r="G738" s="1155">
        <f t="shared" si="91"/>
        <v>0</v>
      </c>
      <c r="H738" s="884">
        <f t="shared" si="90"/>
        <v>0</v>
      </c>
      <c r="I738" s="673">
        <f t="shared" si="90"/>
        <v>0</v>
      </c>
      <c r="J738" s="819"/>
      <c r="K738" s="799">
        <f t="shared" si="92"/>
        <v>0</v>
      </c>
    </row>
    <row r="739" spans="1:11">
      <c r="A739" s="646" t="s">
        <v>409</v>
      </c>
      <c r="B739" s="659"/>
      <c r="C739" s="884"/>
      <c r="D739" s="1113"/>
      <c r="E739" s="819"/>
      <c r="F739" s="799">
        <f t="shared" si="93"/>
        <v>0</v>
      </c>
      <c r="G739" s="1155">
        <f t="shared" si="91"/>
        <v>0</v>
      </c>
      <c r="H739" s="884">
        <f t="shared" si="90"/>
        <v>0</v>
      </c>
      <c r="I739" s="673">
        <f t="shared" si="90"/>
        <v>0</v>
      </c>
      <c r="J739" s="819"/>
      <c r="K739" s="799">
        <f t="shared" si="92"/>
        <v>0</v>
      </c>
    </row>
    <row r="740" spans="1:11">
      <c r="A740" s="646" t="s">
        <v>410</v>
      </c>
      <c r="B740" s="659"/>
      <c r="C740" s="884"/>
      <c r="D740" s="1113"/>
      <c r="E740" s="819"/>
      <c r="F740" s="799">
        <f t="shared" si="93"/>
        <v>0</v>
      </c>
      <c r="G740" s="1155">
        <f t="shared" si="91"/>
        <v>0</v>
      </c>
      <c r="H740" s="884">
        <f t="shared" si="90"/>
        <v>0</v>
      </c>
      <c r="I740" s="673">
        <f t="shared" si="90"/>
        <v>0</v>
      </c>
      <c r="J740" s="819"/>
      <c r="K740" s="799">
        <f t="shared" si="92"/>
        <v>0</v>
      </c>
    </row>
    <row r="741" spans="1:11">
      <c r="A741" s="646" t="s">
        <v>389</v>
      </c>
      <c r="B741" s="659"/>
      <c r="C741" s="884"/>
      <c r="D741" s="1113"/>
      <c r="E741" s="819"/>
      <c r="F741" s="799">
        <f t="shared" si="93"/>
        <v>0</v>
      </c>
      <c r="G741" s="1155">
        <f t="shared" si="91"/>
        <v>0</v>
      </c>
      <c r="H741" s="884">
        <f t="shared" si="90"/>
        <v>0</v>
      </c>
      <c r="I741" s="673">
        <f t="shared" si="90"/>
        <v>0</v>
      </c>
      <c r="J741" s="819"/>
      <c r="K741" s="799">
        <f t="shared" si="92"/>
        <v>0</v>
      </c>
    </row>
    <row r="742" spans="1:11">
      <c r="A742" s="646" t="s">
        <v>390</v>
      </c>
      <c r="B742" s="659"/>
      <c r="C742" s="884"/>
      <c r="D742" s="1113"/>
      <c r="E742" s="819"/>
      <c r="F742" s="799">
        <f t="shared" si="93"/>
        <v>0</v>
      </c>
      <c r="G742" s="1155">
        <f t="shared" si="91"/>
        <v>0</v>
      </c>
      <c r="H742" s="884">
        <f t="shared" si="90"/>
        <v>0</v>
      </c>
      <c r="I742" s="673">
        <f t="shared" si="90"/>
        <v>0</v>
      </c>
      <c r="J742" s="819"/>
      <c r="K742" s="799">
        <f t="shared" si="92"/>
        <v>0</v>
      </c>
    </row>
    <row r="743" spans="1:11">
      <c r="A743" s="646" t="s">
        <v>391</v>
      </c>
      <c r="B743" s="659"/>
      <c r="C743" s="884"/>
      <c r="D743" s="1113"/>
      <c r="E743" s="819"/>
      <c r="F743" s="799">
        <f t="shared" si="93"/>
        <v>0</v>
      </c>
      <c r="G743" s="1155">
        <f t="shared" si="91"/>
        <v>0</v>
      </c>
      <c r="H743" s="884">
        <f t="shared" si="90"/>
        <v>0</v>
      </c>
      <c r="I743" s="673">
        <f t="shared" si="90"/>
        <v>0</v>
      </c>
      <c r="J743" s="819"/>
      <c r="K743" s="799">
        <f t="shared" si="92"/>
        <v>0</v>
      </c>
    </row>
    <row r="744" spans="1:11">
      <c r="A744" s="677"/>
      <c r="B744" s="693"/>
      <c r="C744" s="1395"/>
      <c r="D744" s="694"/>
      <c r="E744" s="1394"/>
      <c r="F744" s="825">
        <f t="shared" si="93"/>
        <v>0</v>
      </c>
      <c r="G744" s="1230">
        <f t="shared" si="91"/>
        <v>0</v>
      </c>
      <c r="H744" s="1395">
        <f t="shared" ref="H744:H757" si="94">C744</f>
        <v>0</v>
      </c>
      <c r="I744" s="694">
        <f t="shared" ref="I744:I757" si="95">D744</f>
        <v>0</v>
      </c>
      <c r="J744" s="1394"/>
      <c r="K744" s="825">
        <f t="shared" si="92"/>
        <v>0</v>
      </c>
    </row>
    <row r="745" spans="1:11">
      <c r="A745" s="646" t="s">
        <v>411</v>
      </c>
      <c r="B745" s="659"/>
      <c r="C745" s="884"/>
      <c r="D745" s="1113"/>
      <c r="E745" s="819"/>
      <c r="F745" s="799">
        <f t="shared" ref="F745:F757" si="96">B745*D745</f>
        <v>0</v>
      </c>
      <c r="G745" s="1155">
        <f t="shared" si="91"/>
        <v>0</v>
      </c>
      <c r="H745" s="884">
        <f t="shared" si="94"/>
        <v>0</v>
      </c>
      <c r="I745" s="673">
        <f t="shared" si="95"/>
        <v>0</v>
      </c>
      <c r="J745" s="819"/>
      <c r="K745" s="799">
        <f t="shared" ref="K745:K757" si="97">G745*I745</f>
        <v>0</v>
      </c>
    </row>
    <row r="746" spans="1:11">
      <c r="A746" s="646" t="s">
        <v>412</v>
      </c>
      <c r="B746" s="659"/>
      <c r="C746" s="884"/>
      <c r="D746" s="1113"/>
      <c r="E746" s="819"/>
      <c r="F746" s="799">
        <f t="shared" si="96"/>
        <v>0</v>
      </c>
      <c r="G746" s="1155">
        <f t="shared" si="91"/>
        <v>0</v>
      </c>
      <c r="H746" s="884">
        <f t="shared" si="94"/>
        <v>0</v>
      </c>
      <c r="I746" s="673">
        <f t="shared" si="95"/>
        <v>0</v>
      </c>
      <c r="J746" s="819"/>
      <c r="K746" s="799">
        <f t="shared" si="97"/>
        <v>0</v>
      </c>
    </row>
    <row r="747" spans="1:11">
      <c r="A747" s="677" t="s">
        <v>413</v>
      </c>
      <c r="B747" s="695"/>
      <c r="C747" s="1395"/>
      <c r="D747" s="1144"/>
      <c r="E747" s="1394"/>
      <c r="F747" s="826">
        <f t="shared" si="96"/>
        <v>0</v>
      </c>
      <c r="G747" s="1231">
        <f t="shared" si="91"/>
        <v>0</v>
      </c>
      <c r="H747" s="1395">
        <f t="shared" si="94"/>
        <v>0</v>
      </c>
      <c r="I747" s="696">
        <f t="shared" si="95"/>
        <v>0</v>
      </c>
      <c r="J747" s="1394"/>
      <c r="K747" s="826">
        <f t="shared" si="97"/>
        <v>0</v>
      </c>
    </row>
    <row r="748" spans="1:11">
      <c r="A748" s="646" t="s">
        <v>414</v>
      </c>
      <c r="B748" s="659"/>
      <c r="C748" s="884"/>
      <c r="D748" s="1113"/>
      <c r="E748" s="819"/>
      <c r="F748" s="799">
        <f t="shared" si="96"/>
        <v>0</v>
      </c>
      <c r="G748" s="1155">
        <f t="shared" si="91"/>
        <v>0</v>
      </c>
      <c r="H748" s="884">
        <f t="shared" si="94"/>
        <v>0</v>
      </c>
      <c r="I748" s="673">
        <f t="shared" si="95"/>
        <v>0</v>
      </c>
      <c r="J748" s="819"/>
      <c r="K748" s="799">
        <f t="shared" si="97"/>
        <v>0</v>
      </c>
    </row>
    <row r="749" spans="1:11">
      <c r="A749" s="646" t="s">
        <v>415</v>
      </c>
      <c r="B749" s="659"/>
      <c r="C749" s="884"/>
      <c r="D749" s="1113"/>
      <c r="E749" s="819"/>
      <c r="F749" s="799">
        <f t="shared" si="96"/>
        <v>0</v>
      </c>
      <c r="G749" s="1155">
        <f t="shared" si="91"/>
        <v>0</v>
      </c>
      <c r="H749" s="884">
        <f t="shared" si="94"/>
        <v>0</v>
      </c>
      <c r="I749" s="673">
        <f t="shared" si="95"/>
        <v>0</v>
      </c>
      <c r="J749" s="819"/>
      <c r="K749" s="799">
        <f t="shared" si="97"/>
        <v>0</v>
      </c>
    </row>
    <row r="750" spans="1:11">
      <c r="A750" s="646" t="s">
        <v>416</v>
      </c>
      <c r="B750" s="659"/>
      <c r="C750" s="884"/>
      <c r="D750" s="1113"/>
      <c r="E750" s="819"/>
      <c r="F750" s="799">
        <f t="shared" si="96"/>
        <v>0</v>
      </c>
      <c r="G750" s="1155">
        <f t="shared" si="91"/>
        <v>0</v>
      </c>
      <c r="H750" s="884">
        <f t="shared" si="94"/>
        <v>0</v>
      </c>
      <c r="I750" s="673">
        <f t="shared" si="95"/>
        <v>0</v>
      </c>
      <c r="J750" s="819"/>
      <c r="K750" s="799">
        <f t="shared" si="97"/>
        <v>0</v>
      </c>
    </row>
    <row r="751" spans="1:11">
      <c r="A751" s="646" t="s">
        <v>417</v>
      </c>
      <c r="B751" s="659"/>
      <c r="C751" s="884"/>
      <c r="D751" s="1113"/>
      <c r="E751" s="819"/>
      <c r="F751" s="799">
        <f t="shared" si="96"/>
        <v>0</v>
      </c>
      <c r="G751" s="1155">
        <f t="shared" si="91"/>
        <v>0</v>
      </c>
      <c r="H751" s="884">
        <f t="shared" si="94"/>
        <v>0</v>
      </c>
      <c r="I751" s="673">
        <f t="shared" si="95"/>
        <v>0</v>
      </c>
      <c r="J751" s="819"/>
      <c r="K751" s="799">
        <f t="shared" si="97"/>
        <v>0</v>
      </c>
    </row>
    <row r="752" spans="1:11">
      <c r="A752" s="646" t="s">
        <v>418</v>
      </c>
      <c r="B752" s="659"/>
      <c r="C752" s="884"/>
      <c r="D752" s="1113"/>
      <c r="E752" s="819"/>
      <c r="F752" s="799">
        <f t="shared" si="96"/>
        <v>0</v>
      </c>
      <c r="G752" s="1155">
        <f t="shared" si="91"/>
        <v>0</v>
      </c>
      <c r="H752" s="884">
        <f t="shared" si="94"/>
        <v>0</v>
      </c>
      <c r="I752" s="673">
        <f t="shared" si="95"/>
        <v>0</v>
      </c>
      <c r="J752" s="819"/>
      <c r="K752" s="799">
        <f t="shared" si="97"/>
        <v>0</v>
      </c>
    </row>
    <row r="753" spans="1:11">
      <c r="A753" s="677" t="s">
        <v>419</v>
      </c>
      <c r="B753" s="695"/>
      <c r="C753" s="1395"/>
      <c r="D753" s="1144"/>
      <c r="E753" s="1394"/>
      <c r="F753" s="826">
        <f t="shared" si="96"/>
        <v>0</v>
      </c>
      <c r="G753" s="1231">
        <f t="shared" si="91"/>
        <v>0</v>
      </c>
      <c r="H753" s="1395">
        <f t="shared" si="94"/>
        <v>0</v>
      </c>
      <c r="I753" s="696">
        <f t="shared" si="95"/>
        <v>0</v>
      </c>
      <c r="J753" s="1394"/>
      <c r="K753" s="826">
        <f t="shared" si="97"/>
        <v>0</v>
      </c>
    </row>
    <row r="754" spans="1:11">
      <c r="A754" s="646" t="s">
        <v>420</v>
      </c>
      <c r="B754" s="659"/>
      <c r="C754" s="884"/>
      <c r="D754" s="1113"/>
      <c r="E754" s="819"/>
      <c r="F754" s="799">
        <f t="shared" si="96"/>
        <v>0</v>
      </c>
      <c r="G754" s="1155">
        <f t="shared" si="91"/>
        <v>0</v>
      </c>
      <c r="H754" s="884">
        <f t="shared" si="94"/>
        <v>0</v>
      </c>
      <c r="I754" s="673">
        <f t="shared" si="95"/>
        <v>0</v>
      </c>
      <c r="J754" s="819"/>
      <c r="K754" s="799">
        <f t="shared" si="97"/>
        <v>0</v>
      </c>
    </row>
    <row r="755" spans="1:11">
      <c r="A755" s="646" t="s">
        <v>370</v>
      </c>
      <c r="B755" s="659"/>
      <c r="C755" s="884"/>
      <c r="D755" s="1113"/>
      <c r="E755" s="819"/>
      <c r="F755" s="799">
        <f t="shared" si="96"/>
        <v>0</v>
      </c>
      <c r="G755" s="1155">
        <f t="shared" si="91"/>
        <v>0</v>
      </c>
      <c r="H755" s="884">
        <f t="shared" si="94"/>
        <v>0</v>
      </c>
      <c r="I755" s="673">
        <f t="shared" si="95"/>
        <v>0</v>
      </c>
      <c r="J755" s="819"/>
      <c r="K755" s="799">
        <f t="shared" si="97"/>
        <v>0</v>
      </c>
    </row>
    <row r="756" spans="1:11">
      <c r="A756" s="646" t="s">
        <v>399</v>
      </c>
      <c r="B756" s="659"/>
      <c r="C756" s="884"/>
      <c r="D756" s="1113"/>
      <c r="E756" s="819"/>
      <c r="F756" s="799">
        <f t="shared" si="96"/>
        <v>0</v>
      </c>
      <c r="G756" s="1155">
        <f t="shared" si="91"/>
        <v>0</v>
      </c>
      <c r="H756" s="884">
        <f t="shared" si="94"/>
        <v>0</v>
      </c>
      <c r="I756" s="673">
        <f t="shared" si="95"/>
        <v>0</v>
      </c>
      <c r="J756" s="819"/>
      <c r="K756" s="799">
        <f t="shared" si="97"/>
        <v>0</v>
      </c>
    </row>
    <row r="757" spans="1:11" ht="12" thickBot="1">
      <c r="A757" s="647"/>
      <c r="B757" s="30"/>
      <c r="C757" s="884"/>
      <c r="D757" s="675"/>
      <c r="E757" s="1068"/>
      <c r="F757" s="824">
        <f t="shared" si="96"/>
        <v>0</v>
      </c>
      <c r="G757" s="530">
        <f t="shared" si="91"/>
        <v>0</v>
      </c>
      <c r="H757" s="884">
        <f t="shared" si="94"/>
        <v>0</v>
      </c>
      <c r="I757" s="675">
        <f t="shared" si="95"/>
        <v>0</v>
      </c>
      <c r="J757" s="1068"/>
      <c r="K757" s="824">
        <f t="shared" si="97"/>
        <v>0</v>
      </c>
    </row>
    <row r="758" spans="1:11" ht="12" thickBot="1">
      <c r="A758" s="1022" t="s">
        <v>364</v>
      </c>
      <c r="B758" s="810" t="s">
        <v>293</v>
      </c>
      <c r="C758" s="990"/>
      <c r="D758" s="810" t="s">
        <v>421</v>
      </c>
      <c r="E758" s="990"/>
      <c r="F758" s="818">
        <f>SUM(F728:F757)</f>
        <v>0</v>
      </c>
      <c r="G758" s="810" t="s">
        <v>422</v>
      </c>
      <c r="H758" s="990"/>
      <c r="I758" s="810" t="s">
        <v>422</v>
      </c>
      <c r="J758" s="990"/>
      <c r="K758" s="818">
        <f>SUM(K728:K757)</f>
        <v>0</v>
      </c>
    </row>
    <row r="759" spans="1:11">
      <c r="A759" s="855"/>
      <c r="B759" s="915"/>
      <c r="C759" s="915"/>
      <c r="D759" s="1046"/>
      <c r="E759" s="968"/>
      <c r="F759" s="968"/>
      <c r="G759" s="915"/>
      <c r="H759" s="914"/>
      <c r="I759" s="1046"/>
      <c r="J759" s="968"/>
      <c r="K759" s="968"/>
    </row>
    <row r="760" spans="1:11">
      <c r="A760" s="1021" t="s">
        <v>1286</v>
      </c>
      <c r="B760" s="915"/>
      <c r="C760" s="915"/>
      <c r="D760" s="1046"/>
      <c r="E760" s="968"/>
      <c r="F760" s="968"/>
      <c r="G760" s="915"/>
      <c r="H760" s="914"/>
      <c r="I760" s="1046"/>
      <c r="J760" s="968"/>
      <c r="K760" s="968"/>
    </row>
    <row r="761" spans="1:11" ht="12" thickBot="1">
      <c r="A761" s="1021"/>
      <c r="B761" s="915"/>
      <c r="C761" s="915"/>
      <c r="D761" s="1046"/>
      <c r="E761" s="968"/>
      <c r="F761" s="968"/>
      <c r="G761" s="915"/>
      <c r="H761" s="914"/>
      <c r="I761" s="1046"/>
      <c r="J761" s="968"/>
      <c r="K761" s="968"/>
    </row>
    <row r="762" spans="1:11" ht="12" thickBot="1">
      <c r="A762" s="1026"/>
      <c r="B762" s="905" t="s">
        <v>82</v>
      </c>
      <c r="C762" s="906"/>
      <c r="D762" s="906"/>
      <c r="E762" s="906"/>
      <c r="F762" s="907"/>
      <c r="G762" s="905" t="s">
        <v>83</v>
      </c>
      <c r="H762" s="908"/>
      <c r="I762" s="906"/>
      <c r="J762" s="906"/>
      <c r="K762" s="907"/>
    </row>
    <row r="763" spans="1:11" ht="12" thickBot="1">
      <c r="A763" s="973" t="s">
        <v>258</v>
      </c>
      <c r="B763" s="905" t="s">
        <v>1184</v>
      </c>
      <c r="C763" s="906"/>
      <c r="D763" s="974" t="s">
        <v>301</v>
      </c>
      <c r="E763" s="906"/>
      <c r="F763" s="907"/>
      <c r="G763" s="905" t="s">
        <v>1184</v>
      </c>
      <c r="H763" s="908"/>
      <c r="I763" s="974" t="s">
        <v>301</v>
      </c>
      <c r="J763" s="906"/>
      <c r="K763" s="907"/>
    </row>
    <row r="764" spans="1:11">
      <c r="A764" s="644" t="s">
        <v>423</v>
      </c>
      <c r="B764" s="616"/>
      <c r="C764" s="915"/>
      <c r="D764" s="657"/>
      <c r="E764" s="519"/>
      <c r="F764" s="667"/>
      <c r="G764" s="535">
        <f>B764</f>
        <v>0</v>
      </c>
      <c r="H764" s="915"/>
      <c r="I764" s="627">
        <f>D764</f>
        <v>0</v>
      </c>
      <c r="J764" s="519"/>
      <c r="K764" s="667"/>
    </row>
    <row r="765" spans="1:11">
      <c r="A765" s="646" t="s">
        <v>424</v>
      </c>
      <c r="B765" s="561"/>
      <c r="C765" s="915"/>
      <c r="D765" s="697"/>
      <c r="E765" s="519"/>
      <c r="F765" s="667"/>
      <c r="G765" s="561">
        <f t="shared" ref="G765:G776" si="98">B765</f>
        <v>0</v>
      </c>
      <c r="H765" s="915"/>
      <c r="I765" s="697">
        <f t="shared" ref="I765:I776" si="99">D765</f>
        <v>0</v>
      </c>
      <c r="J765" s="519"/>
      <c r="K765" s="667"/>
    </row>
    <row r="766" spans="1:11">
      <c r="A766" s="646"/>
      <c r="B766" s="561"/>
      <c r="C766" s="915"/>
      <c r="D766" s="697"/>
      <c r="E766" s="519"/>
      <c r="F766" s="667"/>
      <c r="G766" s="561">
        <f t="shared" si="98"/>
        <v>0</v>
      </c>
      <c r="H766" s="915"/>
      <c r="I766" s="697">
        <f t="shared" si="99"/>
        <v>0</v>
      </c>
      <c r="J766" s="519"/>
      <c r="K766" s="667"/>
    </row>
    <row r="767" spans="1:11">
      <c r="A767" s="646" t="s">
        <v>425</v>
      </c>
      <c r="B767" s="616"/>
      <c r="C767" s="915"/>
      <c r="D767" s="657"/>
      <c r="E767" s="519"/>
      <c r="F767" s="667"/>
      <c r="G767" s="535">
        <f t="shared" si="98"/>
        <v>0</v>
      </c>
      <c r="H767" s="915"/>
      <c r="I767" s="627">
        <f t="shared" si="99"/>
        <v>0</v>
      </c>
      <c r="J767" s="519"/>
      <c r="K767" s="667"/>
    </row>
    <row r="768" spans="1:11">
      <c r="A768" s="646"/>
      <c r="B768" s="561"/>
      <c r="C768" s="915"/>
      <c r="D768" s="697"/>
      <c r="E768" s="519"/>
      <c r="F768" s="667"/>
      <c r="G768" s="561">
        <f t="shared" si="98"/>
        <v>0</v>
      </c>
      <c r="H768" s="915"/>
      <c r="I768" s="697">
        <f t="shared" si="99"/>
        <v>0</v>
      </c>
      <c r="J768" s="519"/>
      <c r="K768" s="667"/>
    </row>
    <row r="769" spans="1:11">
      <c r="A769" s="646"/>
      <c r="B769" s="561"/>
      <c r="C769" s="915"/>
      <c r="D769" s="697"/>
      <c r="E769" s="519"/>
      <c r="F769" s="667"/>
      <c r="G769" s="561">
        <f t="shared" si="98"/>
        <v>0</v>
      </c>
      <c r="H769" s="915"/>
      <c r="I769" s="697">
        <f t="shared" si="99"/>
        <v>0</v>
      </c>
      <c r="J769" s="519"/>
      <c r="K769" s="667"/>
    </row>
    <row r="770" spans="1:11">
      <c r="A770" s="646" t="s">
        <v>426</v>
      </c>
      <c r="B770" s="561"/>
      <c r="C770" s="915"/>
      <c r="D770" s="657"/>
      <c r="E770" s="519"/>
      <c r="F770" s="667"/>
      <c r="G770" s="561">
        <f t="shared" si="98"/>
        <v>0</v>
      </c>
      <c r="H770" s="915"/>
      <c r="I770" s="627">
        <f t="shared" si="99"/>
        <v>0</v>
      </c>
      <c r="J770" s="519"/>
      <c r="K770" s="667"/>
    </row>
    <row r="771" spans="1:11">
      <c r="A771" s="646" t="s">
        <v>427</v>
      </c>
      <c r="B771" s="616"/>
      <c r="C771" s="915"/>
      <c r="D771" s="657"/>
      <c r="E771" s="519"/>
      <c r="F771" s="667"/>
      <c r="G771" s="535">
        <f t="shared" si="98"/>
        <v>0</v>
      </c>
      <c r="H771" s="915"/>
      <c r="I771" s="627">
        <f t="shared" si="99"/>
        <v>0</v>
      </c>
      <c r="J771" s="519"/>
      <c r="K771" s="667"/>
    </row>
    <row r="772" spans="1:11">
      <c r="A772" s="646" t="s">
        <v>428</v>
      </c>
      <c r="B772" s="616"/>
      <c r="C772" s="915"/>
      <c r="D772" s="657"/>
      <c r="E772" s="519"/>
      <c r="F772" s="667"/>
      <c r="G772" s="535">
        <f t="shared" si="98"/>
        <v>0</v>
      </c>
      <c r="H772" s="915"/>
      <c r="I772" s="627">
        <f t="shared" si="99"/>
        <v>0</v>
      </c>
      <c r="J772" s="519"/>
      <c r="K772" s="667"/>
    </row>
    <row r="773" spans="1:11">
      <c r="A773" s="646" t="s">
        <v>429</v>
      </c>
      <c r="B773" s="616"/>
      <c r="C773" s="915"/>
      <c r="D773" s="657"/>
      <c r="E773" s="519"/>
      <c r="F773" s="667"/>
      <c r="G773" s="535">
        <f t="shared" si="98"/>
        <v>0</v>
      </c>
      <c r="H773" s="915"/>
      <c r="I773" s="627">
        <f t="shared" si="99"/>
        <v>0</v>
      </c>
      <c r="J773" s="519"/>
      <c r="K773" s="667"/>
    </row>
    <row r="774" spans="1:11">
      <c r="A774" s="646" t="s">
        <v>430</v>
      </c>
      <c r="B774" s="616"/>
      <c r="C774" s="915"/>
      <c r="D774" s="657"/>
      <c r="E774" s="519"/>
      <c r="F774" s="667"/>
      <c r="G774" s="535">
        <f t="shared" si="98"/>
        <v>0</v>
      </c>
      <c r="H774" s="915"/>
      <c r="I774" s="627">
        <f t="shared" si="99"/>
        <v>0</v>
      </c>
      <c r="J774" s="519"/>
      <c r="K774" s="667"/>
    </row>
    <row r="775" spans="1:11">
      <c r="A775" s="646" t="s">
        <v>431</v>
      </c>
      <c r="B775" s="616"/>
      <c r="C775" s="915"/>
      <c r="D775" s="657"/>
      <c r="E775" s="519"/>
      <c r="F775" s="667"/>
      <c r="G775" s="535">
        <f t="shared" si="98"/>
        <v>0</v>
      </c>
      <c r="H775" s="915"/>
      <c r="I775" s="627">
        <f t="shared" si="99"/>
        <v>0</v>
      </c>
      <c r="J775" s="519"/>
      <c r="K775" s="667"/>
    </row>
    <row r="776" spans="1:11" ht="12" thickBot="1">
      <c r="A776" s="647"/>
      <c r="B776" s="564"/>
      <c r="C776" s="919"/>
      <c r="D776" s="698"/>
      <c r="E776" s="620"/>
      <c r="F776" s="669"/>
      <c r="G776" s="564">
        <f t="shared" si="98"/>
        <v>0</v>
      </c>
      <c r="H776" s="919"/>
      <c r="I776" s="698">
        <f t="shared" si="99"/>
        <v>0</v>
      </c>
      <c r="J776" s="620"/>
      <c r="K776" s="669"/>
    </row>
    <row r="777" spans="1:11" ht="12" thickBot="1">
      <c r="A777" s="1022" t="s">
        <v>364</v>
      </c>
      <c r="B777" s="785">
        <f>SUM(B764:B776)</f>
        <v>0</v>
      </c>
      <c r="C777" s="990"/>
      <c r="D777" s="810" t="s">
        <v>432</v>
      </c>
      <c r="E777" s="970"/>
      <c r="F777" s="990"/>
      <c r="G777" s="785">
        <f>SUM(G764:G776)</f>
        <v>0</v>
      </c>
      <c r="H777" s="990"/>
      <c r="I777" s="810" t="s">
        <v>433</v>
      </c>
      <c r="J777" s="970"/>
      <c r="K777" s="990"/>
    </row>
    <row r="778" spans="1:11">
      <c r="A778" s="768"/>
      <c r="B778" s="767"/>
      <c r="C778" s="767"/>
      <c r="D778" s="767"/>
      <c r="E778" s="767"/>
      <c r="F778" s="843" t="s">
        <v>1249</v>
      </c>
      <c r="G778" s="1406" t="e">
        <f>XONNOM &amp; " " &amp; XONPRE &amp; ", " &amp; TEXT(XONCP,"@@@@") &amp; " " &amp; XONLOC</f>
        <v>#VALUE!</v>
      </c>
      <c r="H778" s="1406"/>
      <c r="I778" s="1406"/>
      <c r="J778" s="1406"/>
      <c r="K778" s="1406"/>
    </row>
    <row r="779" spans="1:11">
      <c r="A779" s="768"/>
      <c r="B779" s="767"/>
      <c r="C779" s="767"/>
      <c r="D779" s="767"/>
      <c r="E779" s="767"/>
      <c r="F779" s="843" t="s">
        <v>68</v>
      </c>
      <c r="G779" s="1411">
        <f>J6</f>
        <v>0</v>
      </c>
      <c r="H779" s="1411"/>
      <c r="I779" s="903"/>
      <c r="J779" s="903"/>
      <c r="K779" s="767"/>
    </row>
    <row r="780" spans="1:11">
      <c r="A780" s="1047" t="s">
        <v>434</v>
      </c>
      <c r="B780" s="1048"/>
      <c r="C780" s="1049"/>
      <c r="D780" s="767"/>
      <c r="E780" s="767"/>
      <c r="F780" s="767"/>
      <c r="G780" s="767"/>
      <c r="H780" s="768"/>
      <c r="I780" s="767"/>
      <c r="J780" s="767"/>
      <c r="K780" s="767"/>
    </row>
    <row r="781" spans="1:11">
      <c r="A781" s="768"/>
      <c r="B781" s="767"/>
      <c r="C781" s="767"/>
      <c r="D781" s="767"/>
      <c r="E781" s="767"/>
      <c r="F781" s="767"/>
      <c r="G781" s="767"/>
      <c r="H781" s="768"/>
      <c r="I781" s="767"/>
      <c r="J781" s="767"/>
      <c r="K781" s="767"/>
    </row>
    <row r="782" spans="1:11" ht="12" thickBot="1">
      <c r="A782" s="862" t="s">
        <v>36</v>
      </c>
      <c r="B782" s="767"/>
      <c r="C782" s="767"/>
      <c r="D782" s="767"/>
      <c r="E782" s="767"/>
      <c r="F782" s="767"/>
      <c r="G782" s="767"/>
      <c r="H782" s="768"/>
      <c r="I782" s="767"/>
      <c r="J782" s="767"/>
      <c r="K782" s="767"/>
    </row>
    <row r="783" spans="1:11" ht="12" thickBot="1">
      <c r="A783" s="1026"/>
      <c r="B783" s="905" t="s">
        <v>82</v>
      </c>
      <c r="C783" s="906"/>
      <c r="D783" s="906"/>
      <c r="E783" s="906"/>
      <c r="F783" s="907"/>
      <c r="G783" s="905" t="s">
        <v>83</v>
      </c>
      <c r="H783" s="908"/>
      <c r="I783" s="906"/>
      <c r="J783" s="906"/>
      <c r="K783" s="907"/>
    </row>
    <row r="784" spans="1:11" ht="12" thickBot="1">
      <c r="A784" s="949" t="s">
        <v>258</v>
      </c>
      <c r="B784" s="905" t="s">
        <v>1184</v>
      </c>
      <c r="C784" s="906"/>
      <c r="D784" s="974" t="s">
        <v>301</v>
      </c>
      <c r="E784" s="906"/>
      <c r="F784" s="907"/>
      <c r="G784" s="905" t="s">
        <v>1184</v>
      </c>
      <c r="H784" s="955"/>
      <c r="I784" s="984" t="s">
        <v>301</v>
      </c>
      <c r="J784" s="951"/>
      <c r="K784" s="1016"/>
    </row>
    <row r="785" spans="1:11">
      <c r="A785" s="904" t="s">
        <v>435</v>
      </c>
      <c r="B785" s="788">
        <f>F395</f>
        <v>0</v>
      </c>
      <c r="C785" s="615"/>
      <c r="D785" s="699"/>
      <c r="E785" s="559"/>
      <c r="F785" s="560"/>
      <c r="G785" s="788">
        <f>K395</f>
        <v>0</v>
      </c>
      <c r="H785" s="700"/>
      <c r="I785" s="699"/>
      <c r="J785" s="559"/>
      <c r="K785" s="560"/>
    </row>
    <row r="786" spans="1:11">
      <c r="A786" s="572" t="s">
        <v>436</v>
      </c>
      <c r="B786" s="703"/>
      <c r="C786" s="519"/>
      <c r="D786" s="701"/>
      <c r="E786" s="27"/>
      <c r="F786" s="563"/>
      <c r="G786" s="1162"/>
      <c r="H786" s="702"/>
      <c r="I786" s="701"/>
      <c r="J786" s="27"/>
      <c r="K786" s="563"/>
    </row>
    <row r="787" spans="1:11">
      <c r="A787" s="572" t="s">
        <v>437</v>
      </c>
      <c r="B787" s="703"/>
      <c r="C787" s="519"/>
      <c r="D787" s="701"/>
      <c r="E787" s="27"/>
      <c r="F787" s="563"/>
      <c r="G787" s="1162"/>
      <c r="H787" s="702"/>
      <c r="I787" s="701"/>
      <c r="J787" s="27"/>
      <c r="K787" s="563"/>
    </row>
    <row r="788" spans="1:11">
      <c r="A788" s="851"/>
      <c r="B788" s="703"/>
      <c r="C788" s="519"/>
      <c r="D788" s="701"/>
      <c r="E788" s="27"/>
      <c r="F788" s="563"/>
      <c r="G788" s="618"/>
      <c r="H788" s="702"/>
      <c r="I788" s="701"/>
      <c r="J788" s="27"/>
      <c r="K788" s="563"/>
    </row>
    <row r="789" spans="1:11">
      <c r="A789" s="1050" t="s">
        <v>438</v>
      </c>
      <c r="B789" s="786">
        <f>F463</f>
        <v>0</v>
      </c>
      <c r="C789" s="519"/>
      <c r="D789" s="701"/>
      <c r="E789" s="27"/>
      <c r="F789" s="563"/>
      <c r="G789" s="786">
        <f>K463</f>
        <v>0</v>
      </c>
      <c r="H789" s="702"/>
      <c r="I789" s="701"/>
      <c r="J789" s="27"/>
      <c r="K789" s="563"/>
    </row>
    <row r="790" spans="1:11">
      <c r="A790" s="572" t="s">
        <v>439</v>
      </c>
      <c r="B790" s="703"/>
      <c r="C790" s="519"/>
      <c r="D790" s="701"/>
      <c r="E790" s="27"/>
      <c r="F790" s="563"/>
      <c r="G790" s="1162"/>
      <c r="H790" s="702"/>
      <c r="I790" s="701"/>
      <c r="J790" s="27"/>
      <c r="K790" s="563"/>
    </row>
    <row r="791" spans="1:11">
      <c r="A791" s="572" t="s">
        <v>440</v>
      </c>
      <c r="B791" s="703"/>
      <c r="C791" s="519"/>
      <c r="D791" s="701"/>
      <c r="E791" s="27"/>
      <c r="F791" s="563"/>
      <c r="G791" s="1162"/>
      <c r="H791" s="702"/>
      <c r="I791" s="701"/>
      <c r="J791" s="27"/>
      <c r="K791" s="563"/>
    </row>
    <row r="792" spans="1:11">
      <c r="A792" s="851"/>
      <c r="B792" s="703"/>
      <c r="C792" s="519"/>
      <c r="D792" s="701"/>
      <c r="E792" s="27"/>
      <c r="F792" s="563"/>
      <c r="G792" s="618"/>
      <c r="H792" s="702"/>
      <c r="I792" s="701"/>
      <c r="J792" s="27"/>
      <c r="K792" s="563"/>
    </row>
    <row r="793" spans="1:11">
      <c r="A793" s="572" t="s">
        <v>221</v>
      </c>
      <c r="B793" s="703"/>
      <c r="C793" s="519"/>
      <c r="D793" s="701"/>
      <c r="E793" s="27"/>
      <c r="F793" s="563"/>
      <c r="G793" s="1162"/>
      <c r="H793" s="702"/>
      <c r="I793" s="701"/>
      <c r="J793" s="27"/>
      <c r="K793" s="563"/>
    </row>
    <row r="794" spans="1:11">
      <c r="A794" s="572" t="s">
        <v>222</v>
      </c>
      <c r="B794" s="703"/>
      <c r="C794" s="519"/>
      <c r="D794" s="701"/>
      <c r="E794" s="27"/>
      <c r="F794" s="563"/>
      <c r="G794" s="1162"/>
      <c r="H794" s="702"/>
      <c r="I794" s="701"/>
      <c r="J794" s="27"/>
      <c r="K794" s="563"/>
    </row>
    <row r="795" spans="1:11">
      <c r="A795" s="572" t="s">
        <v>441</v>
      </c>
      <c r="B795" s="703"/>
      <c r="C795" s="519"/>
      <c r="D795" s="701"/>
      <c r="E795" s="27"/>
      <c r="F795" s="563"/>
      <c r="G795" s="1162"/>
      <c r="H795" s="702"/>
      <c r="I795" s="701"/>
      <c r="J795" s="27"/>
      <c r="K795" s="563"/>
    </row>
    <row r="796" spans="1:11">
      <c r="A796" s="572" t="s">
        <v>442</v>
      </c>
      <c r="B796" s="703"/>
      <c r="C796" s="519"/>
      <c r="D796" s="701"/>
      <c r="E796" s="27"/>
      <c r="F796" s="563"/>
      <c r="G796" s="1162"/>
      <c r="H796" s="702"/>
      <c r="I796" s="701"/>
      <c r="J796" s="27"/>
      <c r="K796" s="563"/>
    </row>
    <row r="797" spans="1:11">
      <c r="A797" s="572" t="s">
        <v>443</v>
      </c>
      <c r="B797" s="703"/>
      <c r="C797" s="519"/>
      <c r="D797" s="701"/>
      <c r="E797" s="27"/>
      <c r="F797" s="563"/>
      <c r="G797" s="1162"/>
      <c r="H797" s="702"/>
      <c r="I797" s="701"/>
      <c r="J797" s="27"/>
      <c r="K797" s="563"/>
    </row>
    <row r="798" spans="1:11">
      <c r="A798" s="579" t="s">
        <v>444</v>
      </c>
      <c r="B798" s="703"/>
      <c r="C798" s="519"/>
      <c r="D798" s="701"/>
      <c r="E798" s="27"/>
      <c r="F798" s="563"/>
      <c r="G798" s="1162"/>
      <c r="H798" s="702"/>
      <c r="I798" s="701"/>
      <c r="J798" s="27"/>
      <c r="K798" s="563"/>
    </row>
    <row r="799" spans="1:11">
      <c r="A799" s="572" t="s">
        <v>445</v>
      </c>
      <c r="B799" s="703"/>
      <c r="C799" s="519"/>
      <c r="D799" s="701"/>
      <c r="E799" s="27"/>
      <c r="F799" s="563"/>
      <c r="G799" s="1162"/>
      <c r="H799" s="702"/>
      <c r="I799" s="701"/>
      <c r="J799" s="27"/>
      <c r="K799" s="563"/>
    </row>
    <row r="800" spans="1:11">
      <c r="A800" s="572" t="s">
        <v>224</v>
      </c>
      <c r="B800" s="703"/>
      <c r="C800" s="519"/>
      <c r="D800" s="701"/>
      <c r="E800" s="27"/>
      <c r="F800" s="563"/>
      <c r="G800" s="1162"/>
      <c r="H800" s="702"/>
      <c r="I800" s="701"/>
      <c r="J800" s="27"/>
      <c r="K800" s="563"/>
    </row>
    <row r="801" spans="1:11">
      <c r="A801" s="572" t="s">
        <v>446</v>
      </c>
      <c r="B801" s="703"/>
      <c r="C801" s="519"/>
      <c r="D801" s="701"/>
      <c r="E801" s="27"/>
      <c r="F801" s="563"/>
      <c r="G801" s="1162"/>
      <c r="H801" s="702"/>
      <c r="I801" s="701"/>
      <c r="J801" s="27"/>
      <c r="K801" s="563"/>
    </row>
    <row r="802" spans="1:11">
      <c r="A802" s="572" t="s">
        <v>447</v>
      </c>
      <c r="B802" s="703"/>
      <c r="C802" s="519"/>
      <c r="D802" s="701"/>
      <c r="E802" s="27"/>
      <c r="F802" s="563"/>
      <c r="G802" s="1162">
        <v>0</v>
      </c>
      <c r="H802" s="702"/>
      <c r="I802" s="701"/>
      <c r="J802" s="27"/>
      <c r="K802" s="563"/>
    </row>
    <row r="803" spans="1:11" ht="12" thickBot="1">
      <c r="A803" s="624" t="s">
        <v>448</v>
      </c>
      <c r="B803" s="708"/>
      <c r="C803" s="620"/>
      <c r="D803" s="704"/>
      <c r="E803" s="565"/>
      <c r="F803" s="566"/>
      <c r="G803" s="1163"/>
      <c r="H803" s="705"/>
      <c r="I803" s="704"/>
      <c r="J803" s="565"/>
      <c r="K803" s="566"/>
    </row>
    <row r="804" spans="1:11" ht="12" thickBot="1">
      <c r="A804" s="923" t="s">
        <v>292</v>
      </c>
      <c r="B804" s="789">
        <f>SUM(B785:B803)</f>
        <v>0</v>
      </c>
      <c r="C804" s="779"/>
      <c r="D804" s="988" t="s">
        <v>449</v>
      </c>
      <c r="E804" s="970"/>
      <c r="F804" s="990"/>
      <c r="G804" s="789">
        <f>SUM(G785:G803)</f>
        <v>0</v>
      </c>
      <c r="H804" s="779"/>
      <c r="I804" s="988" t="str">
        <f>D804</f>
        <v>---------------------------------</v>
      </c>
      <c r="J804" s="970"/>
      <c r="K804" s="990"/>
    </row>
    <row r="805" spans="1:11" ht="12" thickBot="1">
      <c r="A805" s="923" t="s">
        <v>450</v>
      </c>
      <c r="B805" s="1233"/>
      <c r="C805" s="987"/>
      <c r="D805" s="988"/>
      <c r="E805" s="970"/>
      <c r="F805" s="970"/>
      <c r="G805" s="1234"/>
      <c r="H805" s="1191"/>
      <c r="I805" s="1232"/>
      <c r="J805" s="970"/>
      <c r="K805" s="990"/>
    </row>
    <row r="806" spans="1:11" ht="12" thickBot="1">
      <c r="A806" s="923" t="s">
        <v>451</v>
      </c>
      <c r="B806" s="779">
        <f>SUM(B804:B805)</f>
        <v>0</v>
      </c>
      <c r="C806" s="779"/>
      <c r="D806" s="988" t="s">
        <v>452</v>
      </c>
      <c r="E806" s="970"/>
      <c r="F806" s="970"/>
      <c r="G806" s="779">
        <f>SUM(G804:G805)</f>
        <v>0</v>
      </c>
      <c r="H806" s="779"/>
      <c r="I806" s="988" t="s">
        <v>432</v>
      </c>
      <c r="J806" s="970"/>
      <c r="K806" s="990"/>
    </row>
    <row r="807" spans="1:11" ht="16.5" customHeight="1">
      <c r="A807" s="768"/>
      <c r="B807" s="767"/>
      <c r="C807" s="767"/>
      <c r="D807" s="767"/>
      <c r="E807" s="767"/>
      <c r="F807" s="767"/>
      <c r="G807" s="767"/>
      <c r="H807" s="768"/>
      <c r="I807" s="767"/>
      <c r="J807" s="767"/>
      <c r="K807" s="767"/>
    </row>
    <row r="808" spans="1:11" ht="12" thickBot="1">
      <c r="A808" s="862" t="s">
        <v>1287</v>
      </c>
      <c r="B808" s="767"/>
      <c r="C808" s="767"/>
      <c r="D808" s="767"/>
      <c r="E808" s="767"/>
      <c r="F808" s="767"/>
      <c r="G808" s="767"/>
      <c r="H808" s="768"/>
      <c r="I808" s="767"/>
      <c r="J808" s="767"/>
      <c r="K808" s="767"/>
    </row>
    <row r="809" spans="1:11" ht="12" thickBot="1">
      <c r="A809" s="948"/>
      <c r="B809" s="905" t="s">
        <v>82</v>
      </c>
      <c r="C809" s="906"/>
      <c r="D809" s="906"/>
      <c r="E809" s="906"/>
      <c r="F809" s="907"/>
      <c r="G809" s="905" t="s">
        <v>83</v>
      </c>
      <c r="H809" s="908"/>
      <c r="I809" s="906"/>
      <c r="J809" s="906"/>
      <c r="K809" s="907"/>
    </row>
    <row r="810" spans="1:11">
      <c r="A810" s="1052" t="s">
        <v>453</v>
      </c>
      <c r="B810" s="950" t="s">
        <v>454</v>
      </c>
      <c r="C810" s="951"/>
      <c r="D810" s="1053" t="s">
        <v>455</v>
      </c>
      <c r="E810" s="866"/>
      <c r="F810" s="867"/>
      <c r="G810" s="950" t="s">
        <v>454</v>
      </c>
      <c r="H810" s="955"/>
      <c r="I810" s="1053" t="s">
        <v>455</v>
      </c>
      <c r="J810" s="866"/>
      <c r="K810" s="867"/>
    </row>
    <row r="811" spans="1:11" ht="12" thickBot="1">
      <c r="A811" s="917"/>
      <c r="B811" s="956" t="s">
        <v>456</v>
      </c>
      <c r="C811" s="957"/>
      <c r="D811" s="986" t="s">
        <v>457</v>
      </c>
      <c r="E811" s="957"/>
      <c r="F811" s="881" t="s">
        <v>1191</v>
      </c>
      <c r="G811" s="956" t="s">
        <v>456</v>
      </c>
      <c r="H811" s="960"/>
      <c r="I811" s="986" t="s">
        <v>457</v>
      </c>
      <c r="J811" s="957"/>
      <c r="K811" s="881" t="s">
        <v>1191</v>
      </c>
    </row>
    <row r="812" spans="1:11">
      <c r="A812" s="706"/>
      <c r="B812" s="707"/>
      <c r="C812" s="963"/>
      <c r="D812" s="1179"/>
      <c r="E812" s="968"/>
      <c r="F812" s="816">
        <f>B812*D812</f>
        <v>0</v>
      </c>
      <c r="G812" s="1203">
        <f>B812</f>
        <v>0</v>
      </c>
      <c r="H812" s="1193"/>
      <c r="I812" s="1180"/>
      <c r="J812" s="968"/>
      <c r="K812" s="798">
        <f>G812*I812</f>
        <v>0</v>
      </c>
    </row>
    <row r="813" spans="1:11">
      <c r="A813" s="851" t="s">
        <v>1288</v>
      </c>
      <c r="B813" s="703"/>
      <c r="C813" s="968"/>
      <c r="D813" s="1179">
        <v>0.05</v>
      </c>
      <c r="E813" s="968"/>
      <c r="F813" s="816">
        <f>B813*D813</f>
        <v>0</v>
      </c>
      <c r="G813" s="1162">
        <v>0</v>
      </c>
      <c r="H813" s="1194"/>
      <c r="I813" s="1180">
        <v>0.05</v>
      </c>
      <c r="J813" s="968"/>
      <c r="K813" s="798">
        <f>G813*I813</f>
        <v>0</v>
      </c>
    </row>
    <row r="814" spans="1:11">
      <c r="A814" s="1174"/>
      <c r="B814" s="1175"/>
      <c r="C814" s="1191"/>
      <c r="D814" s="1199"/>
      <c r="E814" s="1191"/>
      <c r="F814" s="1176">
        <f t="shared" ref="F814:F829" si="100">B814*D814</f>
        <v>0</v>
      </c>
      <c r="G814" s="1175"/>
      <c r="H814" s="1195"/>
      <c r="I814" s="1199"/>
      <c r="J814" s="1191"/>
      <c r="K814" s="1177">
        <f t="shared" ref="K814:K829" si="101">G814*I814</f>
        <v>0</v>
      </c>
    </row>
    <row r="815" spans="1:11">
      <c r="A815" s="851" t="s">
        <v>1289</v>
      </c>
      <c r="B815" s="703"/>
      <c r="C815" s="968"/>
      <c r="D815" s="1179">
        <v>0.05</v>
      </c>
      <c r="E815" s="968"/>
      <c r="F815" s="816">
        <f t="shared" si="100"/>
        <v>0</v>
      </c>
      <c r="G815" s="1162"/>
      <c r="H815" s="1194"/>
      <c r="I815" s="1180">
        <v>0.05</v>
      </c>
      <c r="J815" s="968"/>
      <c r="K815" s="798">
        <f t="shared" si="101"/>
        <v>0</v>
      </c>
    </row>
    <row r="816" spans="1:11">
      <c r="A816" s="851" t="s">
        <v>1291</v>
      </c>
      <c r="B816" s="703"/>
      <c r="C816" s="968"/>
      <c r="D816" s="1179">
        <v>0.05</v>
      </c>
      <c r="E816" s="968"/>
      <c r="F816" s="816">
        <f t="shared" si="100"/>
        <v>0</v>
      </c>
      <c r="G816" s="1162"/>
      <c r="H816" s="1194"/>
      <c r="I816" s="1180">
        <v>0.05</v>
      </c>
      <c r="J816" s="968"/>
      <c r="K816" s="798">
        <f t="shared" si="101"/>
        <v>0</v>
      </c>
    </row>
    <row r="817" spans="1:11">
      <c r="A817" s="851" t="s">
        <v>1292</v>
      </c>
      <c r="B817" s="703"/>
      <c r="C817" s="968"/>
      <c r="D817" s="1179">
        <v>0.05</v>
      </c>
      <c r="E817" s="968"/>
      <c r="F817" s="816">
        <f t="shared" si="100"/>
        <v>0</v>
      </c>
      <c r="G817" s="1162"/>
      <c r="H817" s="1194"/>
      <c r="I817" s="1180">
        <v>0.05</v>
      </c>
      <c r="J817" s="968"/>
      <c r="K817" s="798">
        <f t="shared" si="101"/>
        <v>0</v>
      </c>
    </row>
    <row r="818" spans="1:11">
      <c r="A818" s="851" t="s">
        <v>1293</v>
      </c>
      <c r="B818" s="703"/>
      <c r="C818" s="968"/>
      <c r="D818" s="1179">
        <v>0.05</v>
      </c>
      <c r="E818" s="968"/>
      <c r="F818" s="816">
        <f t="shared" si="100"/>
        <v>0</v>
      </c>
      <c r="G818" s="1162"/>
      <c r="H818" s="1194"/>
      <c r="I818" s="1180">
        <v>0.05</v>
      </c>
      <c r="J818" s="968"/>
      <c r="K818" s="798">
        <f t="shared" si="101"/>
        <v>0</v>
      </c>
    </row>
    <row r="819" spans="1:11">
      <c r="A819" s="851" t="s">
        <v>1294</v>
      </c>
      <c r="B819" s="703"/>
      <c r="C819" s="968"/>
      <c r="D819" s="1179">
        <v>0.05</v>
      </c>
      <c r="E819" s="968"/>
      <c r="F819" s="816">
        <f t="shared" si="100"/>
        <v>0</v>
      </c>
      <c r="G819" s="1162"/>
      <c r="H819" s="1194"/>
      <c r="I819" s="1180">
        <v>0.05</v>
      </c>
      <c r="J819" s="968"/>
      <c r="K819" s="798">
        <f t="shared" si="101"/>
        <v>0</v>
      </c>
    </row>
    <row r="820" spans="1:11">
      <c r="A820" s="851" t="s">
        <v>1295</v>
      </c>
      <c r="B820" s="703">
        <v>0</v>
      </c>
      <c r="C820" s="968"/>
      <c r="D820" s="1179">
        <v>0.05</v>
      </c>
      <c r="E820" s="968"/>
      <c r="F820" s="816">
        <f t="shared" si="100"/>
        <v>0</v>
      </c>
      <c r="G820" s="1162">
        <v>0</v>
      </c>
      <c r="H820" s="1194"/>
      <c r="I820" s="1180">
        <v>0.05</v>
      </c>
      <c r="J820" s="968"/>
      <c r="K820" s="798">
        <f t="shared" si="101"/>
        <v>0</v>
      </c>
    </row>
    <row r="821" spans="1:11">
      <c r="A821" s="851" t="s">
        <v>1296</v>
      </c>
      <c r="B821" s="703"/>
      <c r="C821" s="968"/>
      <c r="D821" s="1179">
        <v>0.05</v>
      </c>
      <c r="E821" s="968"/>
      <c r="F821" s="816">
        <f t="shared" si="100"/>
        <v>0</v>
      </c>
      <c r="G821" s="1162"/>
      <c r="H821" s="1194"/>
      <c r="I821" s="1180">
        <v>0.05</v>
      </c>
      <c r="J821" s="968"/>
      <c r="K821" s="798">
        <f t="shared" si="101"/>
        <v>0</v>
      </c>
    </row>
    <row r="822" spans="1:11">
      <c r="A822" s="851" t="s">
        <v>1297</v>
      </c>
      <c r="B822" s="703"/>
      <c r="C822" s="968"/>
      <c r="D822" s="1179">
        <v>0.05</v>
      </c>
      <c r="E822" s="968"/>
      <c r="F822" s="816">
        <f t="shared" si="100"/>
        <v>0</v>
      </c>
      <c r="G822" s="1162"/>
      <c r="H822" s="1194"/>
      <c r="I822" s="1180">
        <v>0.05</v>
      </c>
      <c r="J822" s="968"/>
      <c r="K822" s="798">
        <f t="shared" si="101"/>
        <v>0</v>
      </c>
    </row>
    <row r="823" spans="1:11">
      <c r="A823" s="851"/>
      <c r="B823" s="703"/>
      <c r="C823" s="968"/>
      <c r="D823" s="1179">
        <v>0.05</v>
      </c>
      <c r="E823" s="968"/>
      <c r="F823" s="816">
        <f t="shared" si="100"/>
        <v>0</v>
      </c>
      <c r="G823" s="1162"/>
      <c r="H823" s="1194"/>
      <c r="I823" s="1180">
        <v>0.05</v>
      </c>
      <c r="J823" s="968"/>
      <c r="K823" s="798">
        <f t="shared" si="101"/>
        <v>0</v>
      </c>
    </row>
    <row r="824" spans="1:11">
      <c r="A824" s="851"/>
      <c r="B824" s="703"/>
      <c r="C824" s="968"/>
      <c r="D824" s="1179">
        <v>0.05</v>
      </c>
      <c r="E824" s="968"/>
      <c r="F824" s="816">
        <f t="shared" si="100"/>
        <v>0</v>
      </c>
      <c r="G824" s="1162"/>
      <c r="H824" s="1194"/>
      <c r="I824" s="1180">
        <v>0.05</v>
      </c>
      <c r="J824" s="968"/>
      <c r="K824" s="798">
        <f t="shared" si="101"/>
        <v>0</v>
      </c>
    </row>
    <row r="825" spans="1:11">
      <c r="A825" s="851"/>
      <c r="B825" s="703"/>
      <c r="C825" s="968"/>
      <c r="D825" s="1179">
        <v>0.05</v>
      </c>
      <c r="E825" s="968"/>
      <c r="F825" s="816">
        <f t="shared" si="100"/>
        <v>0</v>
      </c>
      <c r="G825" s="1162"/>
      <c r="H825" s="1194"/>
      <c r="I825" s="1180">
        <v>0.05</v>
      </c>
      <c r="J825" s="968"/>
      <c r="K825" s="798">
        <f t="shared" si="101"/>
        <v>0</v>
      </c>
    </row>
    <row r="826" spans="1:11">
      <c r="A826" s="851"/>
      <c r="B826" s="703"/>
      <c r="C826" s="968"/>
      <c r="D826" s="1179">
        <v>0.05</v>
      </c>
      <c r="E826" s="968"/>
      <c r="F826" s="816">
        <f t="shared" si="100"/>
        <v>0</v>
      </c>
      <c r="G826" s="1162"/>
      <c r="H826" s="1194"/>
      <c r="I826" s="1180">
        <v>0.05</v>
      </c>
      <c r="J826" s="968"/>
      <c r="K826" s="798">
        <f t="shared" si="101"/>
        <v>0</v>
      </c>
    </row>
    <row r="827" spans="1:11">
      <c r="A827" s="851"/>
      <c r="B827" s="703"/>
      <c r="C827" s="968"/>
      <c r="D827" s="1179">
        <v>0.05</v>
      </c>
      <c r="E827" s="968"/>
      <c r="F827" s="816">
        <f t="shared" si="100"/>
        <v>0</v>
      </c>
      <c r="G827" s="1162"/>
      <c r="H827" s="1194"/>
      <c r="I827" s="1180">
        <v>0.05</v>
      </c>
      <c r="J827" s="968"/>
      <c r="K827" s="798">
        <f t="shared" si="101"/>
        <v>0</v>
      </c>
    </row>
    <row r="828" spans="1:11">
      <c r="A828" s="851"/>
      <c r="B828" s="703">
        <v>0</v>
      </c>
      <c r="C828" s="968"/>
      <c r="D828" s="1179">
        <v>0.05</v>
      </c>
      <c r="E828" s="968"/>
      <c r="F828" s="816">
        <f t="shared" si="100"/>
        <v>0</v>
      </c>
      <c r="G828" s="1162">
        <f>B828</f>
        <v>0</v>
      </c>
      <c r="H828" s="1194"/>
      <c r="I828" s="1180">
        <v>0.05</v>
      </c>
      <c r="J828" s="968"/>
      <c r="K828" s="798">
        <f t="shared" si="101"/>
        <v>0</v>
      </c>
    </row>
    <row r="829" spans="1:11" ht="12" thickBot="1">
      <c r="A829" s="851"/>
      <c r="B829" s="708">
        <v>0</v>
      </c>
      <c r="C829" s="1192"/>
      <c r="D829" s="1179">
        <v>0.05</v>
      </c>
      <c r="E829" s="968"/>
      <c r="F829" s="816">
        <f t="shared" si="100"/>
        <v>0</v>
      </c>
      <c r="G829" s="1163">
        <f>B829</f>
        <v>0</v>
      </c>
      <c r="H829" s="1196"/>
      <c r="I829" s="1180">
        <v>0.05</v>
      </c>
      <c r="J829" s="968"/>
      <c r="K829" s="798">
        <f t="shared" si="101"/>
        <v>0</v>
      </c>
    </row>
    <row r="830" spans="1:11" ht="12" thickBot="1">
      <c r="A830" s="1012" t="s">
        <v>128</v>
      </c>
      <c r="B830" s="789">
        <f>SUM(B812:B829)</f>
        <v>0</v>
      </c>
      <c r="C830" s="970"/>
      <c r="D830" s="988" t="s">
        <v>257</v>
      </c>
      <c r="E830" s="970"/>
      <c r="F830" s="800">
        <f>SUM(F812:F829)</f>
        <v>0</v>
      </c>
      <c r="G830" s="789">
        <f>SUM(G812:G829)</f>
        <v>0</v>
      </c>
      <c r="H830" s="1054"/>
      <c r="I830" s="988" t="str">
        <f>D830</f>
        <v>-------------------</v>
      </c>
      <c r="J830" s="970"/>
      <c r="K830" s="800">
        <f>SUM(K812:K829)</f>
        <v>0</v>
      </c>
    </row>
    <row r="831" spans="1:11">
      <c r="A831" s="768"/>
      <c r="B831" s="767"/>
      <c r="C831" s="767"/>
      <c r="D831" s="767"/>
      <c r="E831" s="767"/>
      <c r="F831" s="767"/>
      <c r="G831" s="767"/>
      <c r="H831" s="768"/>
      <c r="I831" s="903"/>
      <c r="J831" s="903"/>
      <c r="K831" s="767"/>
    </row>
    <row r="832" spans="1:11" ht="12" thickBot="1">
      <c r="A832" s="862" t="s">
        <v>58</v>
      </c>
      <c r="B832" s="767"/>
      <c r="C832" s="767"/>
      <c r="D832" s="767"/>
      <c r="E832" s="767"/>
      <c r="F832" s="767"/>
      <c r="G832" s="767"/>
      <c r="H832" s="768"/>
      <c r="I832" s="767"/>
      <c r="J832" s="767"/>
      <c r="K832" s="767"/>
    </row>
    <row r="833" spans="1:11" ht="12" thickBot="1">
      <c r="A833" s="1026"/>
      <c r="B833" s="905" t="s">
        <v>82</v>
      </c>
      <c r="C833" s="906"/>
      <c r="D833" s="906"/>
      <c r="E833" s="906"/>
      <c r="F833" s="907"/>
      <c r="G833" s="905" t="s">
        <v>83</v>
      </c>
      <c r="H833" s="908"/>
      <c r="I833" s="906"/>
      <c r="J833" s="906"/>
      <c r="K833" s="907"/>
    </row>
    <row r="834" spans="1:11">
      <c r="A834" s="949" t="s">
        <v>258</v>
      </c>
      <c r="B834" s="950" t="s">
        <v>458</v>
      </c>
      <c r="C834" s="951"/>
      <c r="D834" s="1053" t="s">
        <v>455</v>
      </c>
      <c r="E834" s="866"/>
      <c r="F834" s="867"/>
      <c r="G834" s="950" t="s">
        <v>458</v>
      </c>
      <c r="H834" s="955"/>
      <c r="I834" s="1053" t="s">
        <v>455</v>
      </c>
      <c r="J834" s="866"/>
      <c r="K834" s="867"/>
    </row>
    <row r="835" spans="1:11" ht="12" thickBot="1">
      <c r="A835" s="1029"/>
      <c r="B835" s="956" t="s">
        <v>1190</v>
      </c>
      <c r="C835" s="957"/>
      <c r="D835" s="1002" t="s">
        <v>457</v>
      </c>
      <c r="E835" s="986"/>
      <c r="F835" s="959" t="s">
        <v>1191</v>
      </c>
      <c r="G835" s="956" t="s">
        <v>459</v>
      </c>
      <c r="H835" s="960"/>
      <c r="I835" s="1002" t="s">
        <v>457</v>
      </c>
      <c r="J835" s="986"/>
      <c r="K835" s="959" t="s">
        <v>1191</v>
      </c>
    </row>
    <row r="836" spans="1:11">
      <c r="A836" s="558"/>
      <c r="B836" s="707"/>
      <c r="C836" s="963"/>
      <c r="D836" s="1197"/>
      <c r="E836" s="1200"/>
      <c r="F836" s="797">
        <f t="shared" ref="F836:F861" si="102">B836*D836</f>
        <v>0</v>
      </c>
      <c r="G836" s="1203">
        <f>B836</f>
        <v>0</v>
      </c>
      <c r="H836" s="963"/>
      <c r="I836" s="1198"/>
      <c r="J836" s="1200"/>
      <c r="K836" s="799">
        <f>G836*I836</f>
        <v>0</v>
      </c>
    </row>
    <row r="837" spans="1:11">
      <c r="A837" s="572"/>
      <c r="B837" s="703">
        <v>0</v>
      </c>
      <c r="C837" s="968"/>
      <c r="D837" s="1181"/>
      <c r="E837" s="1201"/>
      <c r="F837" s="797">
        <f t="shared" si="102"/>
        <v>0</v>
      </c>
      <c r="G837" s="1162">
        <f>B837</f>
        <v>0</v>
      </c>
      <c r="H837" s="968"/>
      <c r="I837" s="1182"/>
      <c r="J837" s="1201"/>
      <c r="K837" s="799">
        <f>G837*I837</f>
        <v>0</v>
      </c>
    </row>
    <row r="838" spans="1:11">
      <c r="A838" s="851" t="s">
        <v>1288</v>
      </c>
      <c r="B838" s="703"/>
      <c r="C838" s="968"/>
      <c r="D838" s="1181">
        <v>0.1</v>
      </c>
      <c r="E838" s="1201"/>
      <c r="F838" s="797">
        <f>B838*D838</f>
        <v>0</v>
      </c>
      <c r="G838" s="1162">
        <f>B838</f>
        <v>0</v>
      </c>
      <c r="H838" s="968"/>
      <c r="I838" s="1182">
        <v>0.1</v>
      </c>
      <c r="J838" s="1201"/>
      <c r="K838" s="799">
        <f>I838*G838</f>
        <v>0</v>
      </c>
    </row>
    <row r="839" spans="1:11">
      <c r="A839" s="572"/>
      <c r="B839" s="703">
        <v>0</v>
      </c>
      <c r="C839" s="968"/>
      <c r="D839" s="1181"/>
      <c r="E839" s="1201"/>
      <c r="F839" s="797">
        <f t="shared" si="102"/>
        <v>0</v>
      </c>
      <c r="G839" s="1162">
        <f>B839</f>
        <v>0</v>
      </c>
      <c r="H839" s="968"/>
      <c r="I839" s="1182"/>
      <c r="J839" s="1201"/>
      <c r="K839" s="799"/>
    </row>
    <row r="840" spans="1:11">
      <c r="A840" s="572"/>
      <c r="B840" s="703">
        <v>0</v>
      </c>
      <c r="C840" s="968"/>
      <c r="D840" s="1181">
        <v>0.1</v>
      </c>
      <c r="E840" s="1201"/>
      <c r="F840" s="797">
        <f t="shared" si="102"/>
        <v>0</v>
      </c>
      <c r="G840" s="1162">
        <f>B840</f>
        <v>0</v>
      </c>
      <c r="H840" s="968"/>
      <c r="I840" s="1182">
        <v>0.1</v>
      </c>
      <c r="J840" s="1201"/>
      <c r="K840" s="799">
        <f>G840*I840</f>
        <v>0</v>
      </c>
    </row>
    <row r="841" spans="1:11">
      <c r="A841" s="851" t="s">
        <v>1289</v>
      </c>
      <c r="B841" s="703"/>
      <c r="C841" s="968"/>
      <c r="D841" s="1181">
        <v>0.1</v>
      </c>
      <c r="E841" s="1201"/>
      <c r="F841" s="797">
        <f t="shared" si="102"/>
        <v>0</v>
      </c>
      <c r="G841" s="1162"/>
      <c r="H841" s="968"/>
      <c r="I841" s="1182">
        <v>0.1</v>
      </c>
      <c r="J841" s="1201"/>
      <c r="K841" s="799">
        <f t="shared" ref="K841:K861" si="103">I841*G841</f>
        <v>0</v>
      </c>
    </row>
    <row r="842" spans="1:11">
      <c r="A842" s="851" t="s">
        <v>1291</v>
      </c>
      <c r="B842" s="703"/>
      <c r="C842" s="968"/>
      <c r="D842" s="1181">
        <v>0.1</v>
      </c>
      <c r="E842" s="1201"/>
      <c r="F842" s="797">
        <f t="shared" si="102"/>
        <v>0</v>
      </c>
      <c r="G842" s="1162"/>
      <c r="H842" s="968"/>
      <c r="I842" s="1182">
        <v>0.1</v>
      </c>
      <c r="J842" s="1201"/>
      <c r="K842" s="799">
        <f t="shared" si="103"/>
        <v>0</v>
      </c>
    </row>
    <row r="843" spans="1:11">
      <c r="A843" s="851" t="s">
        <v>1292</v>
      </c>
      <c r="B843" s="703" t="s">
        <v>1220</v>
      </c>
      <c r="C843" s="968"/>
      <c r="D843" s="1181">
        <v>0.1</v>
      </c>
      <c r="E843" s="1201"/>
      <c r="F843" s="797">
        <f t="shared" si="102"/>
        <v>0</v>
      </c>
      <c r="G843" s="1162"/>
      <c r="H843" s="968"/>
      <c r="I843" s="1182">
        <v>0.1</v>
      </c>
      <c r="J843" s="1201"/>
      <c r="K843" s="799">
        <f t="shared" si="103"/>
        <v>0</v>
      </c>
    </row>
    <row r="844" spans="1:11">
      <c r="A844" s="851" t="s">
        <v>1293</v>
      </c>
      <c r="B844" s="703"/>
      <c r="C844" s="968"/>
      <c r="D844" s="1181">
        <v>0.1</v>
      </c>
      <c r="E844" s="1201"/>
      <c r="F844" s="797">
        <f t="shared" si="102"/>
        <v>0</v>
      </c>
      <c r="G844" s="1162"/>
      <c r="H844" s="968"/>
      <c r="I844" s="1182">
        <v>0.1</v>
      </c>
      <c r="J844" s="1201"/>
      <c r="K844" s="799">
        <f t="shared" si="103"/>
        <v>0</v>
      </c>
    </row>
    <row r="845" spans="1:11">
      <c r="A845" s="851" t="s">
        <v>1294</v>
      </c>
      <c r="B845" s="703"/>
      <c r="C845" s="968"/>
      <c r="D845" s="1181">
        <v>0.1</v>
      </c>
      <c r="E845" s="1201"/>
      <c r="F845" s="797">
        <f t="shared" si="102"/>
        <v>0</v>
      </c>
      <c r="G845" s="1162"/>
      <c r="H845" s="968"/>
      <c r="I845" s="1182">
        <v>0.1</v>
      </c>
      <c r="J845" s="1201"/>
      <c r="K845" s="799">
        <f t="shared" si="103"/>
        <v>0</v>
      </c>
    </row>
    <row r="846" spans="1:11">
      <c r="A846" s="851" t="s">
        <v>1295</v>
      </c>
      <c r="B846" s="703"/>
      <c r="C846" s="968"/>
      <c r="D846" s="1181">
        <v>0.1</v>
      </c>
      <c r="E846" s="1201"/>
      <c r="F846" s="797">
        <f t="shared" si="102"/>
        <v>0</v>
      </c>
      <c r="G846" s="1162"/>
      <c r="H846" s="968"/>
      <c r="I846" s="1182">
        <v>0.1</v>
      </c>
      <c r="J846" s="1201"/>
      <c r="K846" s="799">
        <f t="shared" si="103"/>
        <v>0</v>
      </c>
    </row>
    <row r="847" spans="1:11">
      <c r="A847" s="851" t="s">
        <v>1296</v>
      </c>
      <c r="B847" s="703"/>
      <c r="C847" s="968"/>
      <c r="D847" s="1181">
        <v>0.1</v>
      </c>
      <c r="E847" s="1201"/>
      <c r="F847" s="797">
        <f t="shared" si="102"/>
        <v>0</v>
      </c>
      <c r="G847" s="1162"/>
      <c r="H847" s="968"/>
      <c r="I847" s="1182">
        <v>0.1</v>
      </c>
      <c r="J847" s="1201"/>
      <c r="K847" s="799">
        <f t="shared" si="103"/>
        <v>0</v>
      </c>
    </row>
    <row r="848" spans="1:11">
      <c r="A848" s="851" t="s">
        <v>1297</v>
      </c>
      <c r="B848" s="703"/>
      <c r="C848" s="968"/>
      <c r="D848" s="1181">
        <v>0.1</v>
      </c>
      <c r="E848" s="1201"/>
      <c r="F848" s="797">
        <f t="shared" si="102"/>
        <v>0</v>
      </c>
      <c r="G848" s="1162"/>
      <c r="H848" s="968"/>
      <c r="I848" s="1182">
        <v>0.1</v>
      </c>
      <c r="J848" s="1201"/>
      <c r="K848" s="799">
        <f t="shared" si="103"/>
        <v>0</v>
      </c>
    </row>
    <row r="849" spans="1:11">
      <c r="A849" s="851"/>
      <c r="B849" s="703"/>
      <c r="C849" s="968"/>
      <c r="D849" s="1181">
        <v>0.1</v>
      </c>
      <c r="E849" s="1201"/>
      <c r="F849" s="797">
        <f t="shared" si="102"/>
        <v>0</v>
      </c>
      <c r="G849" s="1162"/>
      <c r="H849" s="968"/>
      <c r="I849" s="1182">
        <v>0.1</v>
      </c>
      <c r="J849" s="1201"/>
      <c r="K849" s="799">
        <f t="shared" si="103"/>
        <v>0</v>
      </c>
    </row>
    <row r="850" spans="1:11">
      <c r="A850" s="851"/>
      <c r="B850" s="703"/>
      <c r="C850" s="968"/>
      <c r="D850" s="1181">
        <v>0.1</v>
      </c>
      <c r="E850" s="1201"/>
      <c r="F850" s="797">
        <f t="shared" si="102"/>
        <v>0</v>
      </c>
      <c r="G850" s="1162"/>
      <c r="H850" s="968"/>
      <c r="I850" s="1182">
        <v>0.1</v>
      </c>
      <c r="J850" s="1201"/>
      <c r="K850" s="799">
        <f t="shared" si="103"/>
        <v>0</v>
      </c>
    </row>
    <row r="851" spans="1:11">
      <c r="A851" s="851"/>
      <c r="B851" s="703"/>
      <c r="C851" s="968"/>
      <c r="D851" s="1181">
        <v>0.1</v>
      </c>
      <c r="E851" s="1201"/>
      <c r="F851" s="797">
        <f t="shared" si="102"/>
        <v>0</v>
      </c>
      <c r="G851" s="1162"/>
      <c r="H851" s="968"/>
      <c r="I851" s="1182">
        <v>0.1</v>
      </c>
      <c r="J851" s="1201"/>
      <c r="K851" s="799">
        <f t="shared" si="103"/>
        <v>0</v>
      </c>
    </row>
    <row r="852" spans="1:11">
      <c r="A852" s="851"/>
      <c r="B852" s="703"/>
      <c r="C852" s="968"/>
      <c r="D852" s="1181">
        <v>0.1</v>
      </c>
      <c r="E852" s="1201"/>
      <c r="F852" s="797">
        <f t="shared" si="102"/>
        <v>0</v>
      </c>
      <c r="G852" s="1162"/>
      <c r="H852" s="968"/>
      <c r="I852" s="1182">
        <v>0.1</v>
      </c>
      <c r="J852" s="1201"/>
      <c r="K852" s="799">
        <f t="shared" si="103"/>
        <v>0</v>
      </c>
    </row>
    <row r="853" spans="1:11">
      <c r="A853" s="851"/>
      <c r="B853" s="703"/>
      <c r="C853" s="968"/>
      <c r="D853" s="1181">
        <v>0.1</v>
      </c>
      <c r="E853" s="1201"/>
      <c r="F853" s="797">
        <f t="shared" si="102"/>
        <v>0</v>
      </c>
      <c r="G853" s="1162"/>
      <c r="H853" s="968"/>
      <c r="I853" s="1182">
        <v>0.1</v>
      </c>
      <c r="J853" s="1201"/>
      <c r="K853" s="799">
        <f t="shared" si="103"/>
        <v>0</v>
      </c>
    </row>
    <row r="854" spans="1:11">
      <c r="A854" s="851"/>
      <c r="B854" s="703"/>
      <c r="C854" s="968"/>
      <c r="D854" s="1181">
        <v>0.1</v>
      </c>
      <c r="E854" s="1201"/>
      <c r="F854" s="797">
        <f t="shared" si="102"/>
        <v>0</v>
      </c>
      <c r="G854" s="1162"/>
      <c r="H854" s="968"/>
      <c r="I854" s="1182">
        <v>0.1</v>
      </c>
      <c r="J854" s="1201"/>
      <c r="K854" s="799">
        <f t="shared" si="103"/>
        <v>0</v>
      </c>
    </row>
    <row r="855" spans="1:11">
      <c r="A855" s="851"/>
      <c r="B855" s="703"/>
      <c r="C855" s="968"/>
      <c r="D855" s="1181">
        <v>0.1</v>
      </c>
      <c r="E855" s="1201"/>
      <c r="F855" s="797">
        <f t="shared" si="102"/>
        <v>0</v>
      </c>
      <c r="G855" s="1162"/>
      <c r="H855" s="968"/>
      <c r="I855" s="1182">
        <v>0.1</v>
      </c>
      <c r="J855" s="1201"/>
      <c r="K855" s="799">
        <f t="shared" si="103"/>
        <v>0</v>
      </c>
    </row>
    <row r="856" spans="1:11">
      <c r="A856" s="851"/>
      <c r="B856" s="703"/>
      <c r="C856" s="968"/>
      <c r="D856" s="1181">
        <v>0.1</v>
      </c>
      <c r="E856" s="1201"/>
      <c r="F856" s="797">
        <f t="shared" si="102"/>
        <v>0</v>
      </c>
      <c r="G856" s="1162"/>
      <c r="H856" s="968"/>
      <c r="I856" s="1182">
        <v>0.1</v>
      </c>
      <c r="J856" s="1201"/>
      <c r="K856" s="799">
        <f t="shared" si="103"/>
        <v>0</v>
      </c>
    </row>
    <row r="857" spans="1:11">
      <c r="A857" s="851"/>
      <c r="B857" s="703"/>
      <c r="C857" s="968"/>
      <c r="D857" s="1181">
        <v>0.1</v>
      </c>
      <c r="E857" s="1201"/>
      <c r="F857" s="797">
        <f t="shared" si="102"/>
        <v>0</v>
      </c>
      <c r="G857" s="1162"/>
      <c r="H857" s="968"/>
      <c r="I857" s="1182">
        <v>0.1</v>
      </c>
      <c r="J857" s="1201"/>
      <c r="K857" s="799">
        <f t="shared" si="103"/>
        <v>0</v>
      </c>
    </row>
    <row r="858" spans="1:11">
      <c r="A858" s="851"/>
      <c r="B858" s="703"/>
      <c r="C858" s="968"/>
      <c r="D858" s="1181">
        <v>0.1</v>
      </c>
      <c r="E858" s="1201"/>
      <c r="F858" s="797">
        <f t="shared" si="102"/>
        <v>0</v>
      </c>
      <c r="G858" s="1162"/>
      <c r="H858" s="968"/>
      <c r="I858" s="1182">
        <v>0.1</v>
      </c>
      <c r="J858" s="1201"/>
      <c r="K858" s="799">
        <f t="shared" si="103"/>
        <v>0</v>
      </c>
    </row>
    <row r="859" spans="1:11">
      <c r="A859" s="851"/>
      <c r="B859" s="703"/>
      <c r="C859" s="968"/>
      <c r="D859" s="1181">
        <v>0.1</v>
      </c>
      <c r="E859" s="1201"/>
      <c r="F859" s="797">
        <f t="shared" si="102"/>
        <v>0</v>
      </c>
      <c r="G859" s="1162"/>
      <c r="H859" s="968"/>
      <c r="I859" s="1182">
        <v>0.1</v>
      </c>
      <c r="J859" s="1201"/>
      <c r="K859" s="799">
        <f t="shared" si="103"/>
        <v>0</v>
      </c>
    </row>
    <row r="860" spans="1:11">
      <c r="A860" s="851"/>
      <c r="B860" s="703"/>
      <c r="C860" s="968"/>
      <c r="D860" s="1181">
        <v>0.1</v>
      </c>
      <c r="E860" s="1201"/>
      <c r="F860" s="797">
        <f t="shared" si="102"/>
        <v>0</v>
      </c>
      <c r="G860" s="1162"/>
      <c r="H860" s="968"/>
      <c r="I860" s="1182">
        <v>0.1</v>
      </c>
      <c r="J860" s="1201"/>
      <c r="K860" s="799">
        <f t="shared" si="103"/>
        <v>0</v>
      </c>
    </row>
    <row r="861" spans="1:11" ht="12" thickBot="1">
      <c r="A861" s="624"/>
      <c r="B861" s="708"/>
      <c r="C861" s="1192"/>
      <c r="D861" s="1181">
        <v>0.1</v>
      </c>
      <c r="E861" s="1202"/>
      <c r="F861" s="797">
        <f t="shared" si="102"/>
        <v>0</v>
      </c>
      <c r="G861" s="1163">
        <f>B861</f>
        <v>0</v>
      </c>
      <c r="H861" s="1192"/>
      <c r="I861" s="1182">
        <v>0.1</v>
      </c>
      <c r="J861" s="1202"/>
      <c r="K861" s="799">
        <f t="shared" si="103"/>
        <v>0</v>
      </c>
    </row>
    <row r="862" spans="1:11" ht="12" thickBot="1">
      <c r="A862" s="923" t="s">
        <v>248</v>
      </c>
      <c r="B862" s="791">
        <f>SUM(B836:B861)</f>
        <v>0</v>
      </c>
      <c r="C862" s="970"/>
      <c r="D862" s="1006" t="s">
        <v>130</v>
      </c>
      <c r="E862" s="1055"/>
      <c r="F862" s="801">
        <f>SUM(F836:F861)</f>
        <v>0</v>
      </c>
      <c r="G862" s="791">
        <f>SUM(G836:G861)</f>
        <v>0</v>
      </c>
      <c r="H862" s="970"/>
      <c r="I862" s="1006" t="str">
        <f>D862</f>
        <v>-------</v>
      </c>
      <c r="J862" s="1055"/>
      <c r="K862" s="801">
        <f>SUM(K836:K861)</f>
        <v>0</v>
      </c>
    </row>
    <row r="863" spans="1:11">
      <c r="A863" s="941"/>
      <c r="B863" s="968"/>
      <c r="C863" s="968"/>
      <c r="D863" s="1056"/>
      <c r="E863" s="1057"/>
      <c r="F863" s="1183" t="s">
        <v>1249</v>
      </c>
      <c r="G863" s="1406" t="e">
        <f>XONNOM &amp; " " &amp; XONPRE &amp; ", " &amp; TEXT(XONCP,"@@@@") &amp; " " &amp; XONLOC</f>
        <v>#VALUE!</v>
      </c>
      <c r="H863" s="1406"/>
      <c r="I863" s="1406"/>
      <c r="J863" s="1406"/>
      <c r="K863" s="1406"/>
    </row>
    <row r="864" spans="1:11">
      <c r="A864" s="768"/>
      <c r="B864" s="767"/>
      <c r="C864" s="767"/>
      <c r="D864" s="767"/>
      <c r="E864" s="767"/>
      <c r="F864" s="1183" t="s">
        <v>68</v>
      </c>
      <c r="G864" s="1411">
        <f>J6</f>
        <v>0</v>
      </c>
      <c r="H864" s="1411"/>
      <c r="I864" s="767"/>
      <c r="J864" s="767"/>
      <c r="K864" s="767"/>
    </row>
    <row r="865" spans="1:11">
      <c r="A865" s="863" t="s">
        <v>59</v>
      </c>
      <c r="B865" s="767"/>
      <c r="C865" s="767"/>
      <c r="D865" s="767"/>
      <c r="E865" s="767"/>
      <c r="F865" s="767"/>
      <c r="G865" s="767"/>
      <c r="H865" s="768"/>
      <c r="I865" s="767"/>
      <c r="J865" s="767"/>
      <c r="K865" s="767"/>
    </row>
    <row r="866" spans="1:11" ht="12.75" customHeight="1" thickBot="1">
      <c r="A866" s="768"/>
      <c r="B866" s="767"/>
      <c r="C866" s="767"/>
      <c r="D866" s="767"/>
      <c r="E866" s="767"/>
      <c r="F866" s="767"/>
      <c r="G866" s="767"/>
      <c r="H866" s="768"/>
      <c r="I866" s="767"/>
      <c r="J866" s="767"/>
      <c r="K866" s="767"/>
    </row>
    <row r="867" spans="1:11" ht="12" thickBot="1">
      <c r="A867" s="948"/>
      <c r="B867" s="905" t="s">
        <v>82</v>
      </c>
      <c r="C867" s="906"/>
      <c r="D867" s="906"/>
      <c r="E867" s="906"/>
      <c r="F867" s="907"/>
      <c r="G867" s="905" t="s">
        <v>83</v>
      </c>
      <c r="H867" s="908"/>
      <c r="I867" s="906"/>
      <c r="J867" s="906"/>
      <c r="K867" s="907"/>
    </row>
    <row r="868" spans="1:11">
      <c r="A868" s="1052" t="s">
        <v>453</v>
      </c>
      <c r="B868" s="950" t="s">
        <v>461</v>
      </c>
      <c r="C868" s="955"/>
      <c r="D868" s="984" t="s">
        <v>462</v>
      </c>
      <c r="E868" s="951"/>
      <c r="F868" s="985" t="s">
        <v>463</v>
      </c>
      <c r="G868" s="950" t="s">
        <v>461</v>
      </c>
      <c r="H868" s="955"/>
      <c r="I868" s="984" t="s">
        <v>462</v>
      </c>
      <c r="J868" s="951"/>
      <c r="K868" s="985" t="s">
        <v>463</v>
      </c>
    </row>
    <row r="869" spans="1:11" ht="12" thickBot="1">
      <c r="A869" s="917"/>
      <c r="B869" s="956" t="s">
        <v>1290</v>
      </c>
      <c r="C869" s="957"/>
      <c r="D869" s="986" t="s">
        <v>1170</v>
      </c>
      <c r="E869" s="957"/>
      <c r="F869" s="881" t="s">
        <v>464</v>
      </c>
      <c r="G869" s="956" t="s">
        <v>1192</v>
      </c>
      <c r="H869" s="960"/>
      <c r="I869" s="986" t="s">
        <v>1170</v>
      </c>
      <c r="J869" s="957"/>
      <c r="K869" s="881" t="s">
        <v>464</v>
      </c>
    </row>
    <row r="870" spans="1:11">
      <c r="A870" s="904" t="s">
        <v>465</v>
      </c>
      <c r="B870" s="703"/>
      <c r="C870" s="963"/>
      <c r="D870" s="1125"/>
      <c r="E870" s="963"/>
      <c r="F870" s="807">
        <f t="shared" ref="F870:F877" si="104">B870*D870</f>
        <v>0</v>
      </c>
      <c r="G870" s="1162">
        <f>B870</f>
        <v>0</v>
      </c>
      <c r="H870" s="963"/>
      <c r="I870" s="626">
        <f>D870</f>
        <v>0</v>
      </c>
      <c r="J870" s="963"/>
      <c r="K870" s="807">
        <f t="shared" ref="K870:K877" si="105">G870*I870</f>
        <v>0</v>
      </c>
    </row>
    <row r="871" spans="1:11">
      <c r="A871" s="1050" t="s">
        <v>466</v>
      </c>
      <c r="B871" s="1235"/>
      <c r="C871" s="968"/>
      <c r="D871" s="1126"/>
      <c r="E871" s="968"/>
      <c r="F871" s="798">
        <f t="shared" si="104"/>
        <v>0</v>
      </c>
      <c r="G871" s="1236">
        <f>B871</f>
        <v>0</v>
      </c>
      <c r="H871" s="968"/>
      <c r="I871" s="627">
        <f>D871</f>
        <v>0</v>
      </c>
      <c r="J871" s="968"/>
      <c r="K871" s="798">
        <f t="shared" si="105"/>
        <v>0</v>
      </c>
    </row>
    <row r="872" spans="1:11">
      <c r="A872" s="1050" t="s">
        <v>467</v>
      </c>
      <c r="B872" s="1235"/>
      <c r="C872" s="968"/>
      <c r="D872" s="1126"/>
      <c r="E872" s="968"/>
      <c r="F872" s="798">
        <f t="shared" si="104"/>
        <v>0</v>
      </c>
      <c r="G872" s="1236">
        <f>B872</f>
        <v>0</v>
      </c>
      <c r="H872" s="968"/>
      <c r="I872" s="627">
        <f>D872</f>
        <v>0</v>
      </c>
      <c r="J872" s="968"/>
      <c r="K872" s="798">
        <f t="shared" si="105"/>
        <v>0</v>
      </c>
    </row>
    <row r="873" spans="1:11">
      <c r="A873" s="1058" t="s">
        <v>468</v>
      </c>
      <c r="B873" s="786">
        <f>B830</f>
        <v>0</v>
      </c>
      <c r="C873" s="968"/>
      <c r="D873" s="1145">
        <v>0.03</v>
      </c>
      <c r="E873" s="968"/>
      <c r="F873" s="798">
        <f t="shared" si="104"/>
        <v>0</v>
      </c>
      <c r="G873" s="786">
        <f>G830</f>
        <v>0</v>
      </c>
      <c r="H873" s="968"/>
      <c r="I873" s="1398">
        <v>0.03</v>
      </c>
      <c r="J873" s="968"/>
      <c r="K873" s="798">
        <f t="shared" si="105"/>
        <v>0</v>
      </c>
    </row>
    <row r="874" spans="1:11">
      <c r="A874" s="1050" t="s">
        <v>469</v>
      </c>
      <c r="B874" s="786">
        <f>B862</f>
        <v>0</v>
      </c>
      <c r="C874" s="968"/>
      <c r="D874" s="1145">
        <v>0.03</v>
      </c>
      <c r="E874" s="968"/>
      <c r="F874" s="798">
        <f t="shared" si="104"/>
        <v>0</v>
      </c>
      <c r="G874" s="786">
        <f>G862</f>
        <v>0</v>
      </c>
      <c r="H874" s="968"/>
      <c r="I874" s="1398">
        <v>0.03</v>
      </c>
      <c r="J874" s="968"/>
      <c r="K874" s="798">
        <f t="shared" si="105"/>
        <v>0</v>
      </c>
    </row>
    <row r="875" spans="1:11">
      <c r="A875" s="1050" t="s">
        <v>470</v>
      </c>
      <c r="B875" s="786">
        <f>F380</f>
        <v>0</v>
      </c>
      <c r="C875" s="968"/>
      <c r="D875" s="1145">
        <v>0.06</v>
      </c>
      <c r="E875" s="968"/>
      <c r="F875" s="798">
        <f t="shared" si="104"/>
        <v>0</v>
      </c>
      <c r="G875" s="786">
        <f>K380</f>
        <v>0</v>
      </c>
      <c r="H875" s="968"/>
      <c r="I875" s="1398">
        <v>0.06</v>
      </c>
      <c r="J875" s="968"/>
      <c r="K875" s="798">
        <f t="shared" si="105"/>
        <v>0</v>
      </c>
    </row>
    <row r="876" spans="1:11">
      <c r="A876" s="1050" t="s">
        <v>471</v>
      </c>
      <c r="B876" s="786">
        <f>F449</f>
        <v>0</v>
      </c>
      <c r="C876" s="968"/>
      <c r="D876" s="1145">
        <v>0.06</v>
      </c>
      <c r="E876" s="968"/>
      <c r="F876" s="798">
        <f t="shared" si="104"/>
        <v>0</v>
      </c>
      <c r="G876" s="786">
        <f>K449</f>
        <v>0</v>
      </c>
      <c r="H876" s="968"/>
      <c r="I876" s="1398">
        <v>0.06</v>
      </c>
      <c r="J876" s="968"/>
      <c r="K876" s="798">
        <f t="shared" si="105"/>
        <v>0</v>
      </c>
    </row>
    <row r="877" spans="1:11" ht="12" thickBot="1">
      <c r="A877" s="1059" t="s">
        <v>472</v>
      </c>
      <c r="B877" s="787">
        <f>F495+F560+F592+F529+F652+F721</f>
        <v>0</v>
      </c>
      <c r="C877" s="1192"/>
      <c r="D877" s="1146">
        <v>0.06</v>
      </c>
      <c r="E877" s="1192"/>
      <c r="F877" s="798">
        <f t="shared" si="104"/>
        <v>0</v>
      </c>
      <c r="G877" s="787">
        <f>K495+K560+K592+F529+F652+F721</f>
        <v>0</v>
      </c>
      <c r="H877" s="1192"/>
      <c r="I877" s="1399">
        <v>0.06</v>
      </c>
      <c r="J877" s="1192"/>
      <c r="K877" s="798">
        <f t="shared" si="105"/>
        <v>0</v>
      </c>
    </row>
    <row r="878" spans="1:11" ht="12" hidden="1" thickBot="1">
      <c r="A878" s="624"/>
      <c r="B878" s="787"/>
      <c r="C878" s="620"/>
      <c r="D878" s="709"/>
      <c r="E878" s="620"/>
      <c r="F878" s="798"/>
      <c r="G878" s="787"/>
      <c r="H878" s="620"/>
      <c r="I878" s="709"/>
      <c r="J878" s="620"/>
      <c r="K878" s="798"/>
    </row>
    <row r="879" spans="1:11" ht="12" hidden="1" thickBot="1">
      <c r="A879" s="624"/>
      <c r="B879" s="787"/>
      <c r="C879" s="620"/>
      <c r="D879" s="709"/>
      <c r="E879" s="620"/>
      <c r="F879" s="798"/>
      <c r="G879" s="787"/>
      <c r="H879" s="620"/>
      <c r="I879" s="709"/>
      <c r="J879" s="620"/>
      <c r="K879" s="798"/>
    </row>
    <row r="880" spans="1:11" ht="12" thickBot="1">
      <c r="A880" s="923" t="s">
        <v>292</v>
      </c>
      <c r="B880" s="810" t="s">
        <v>300</v>
      </c>
      <c r="C880" s="970"/>
      <c r="D880" s="988" t="s">
        <v>300</v>
      </c>
      <c r="E880" s="970"/>
      <c r="F880" s="800">
        <f>SUM(F870:F877)</f>
        <v>0</v>
      </c>
      <c r="G880" s="810" t="str">
        <f>B880</f>
        <v>-----------------</v>
      </c>
      <c r="H880" s="970"/>
      <c r="I880" s="988" t="str">
        <f>D880</f>
        <v>-----------------</v>
      </c>
      <c r="J880" s="970"/>
      <c r="K880" s="800">
        <f>SUM(K870:K877)</f>
        <v>0</v>
      </c>
    </row>
    <row r="881" spans="1:11">
      <c r="A881" s="768"/>
      <c r="B881" s="767"/>
      <c r="C881" s="767"/>
      <c r="D881" s="767"/>
      <c r="E881" s="767"/>
      <c r="F881" s="843"/>
      <c r="G881" s="903"/>
      <c r="H881" s="1060"/>
      <c r="I881" s="903"/>
      <c r="J881" s="903"/>
      <c r="K881" s="767"/>
    </row>
    <row r="882" spans="1:11" ht="15.75">
      <c r="A882" s="1178" t="s">
        <v>63</v>
      </c>
      <c r="B882" s="767"/>
      <c r="C882" s="767"/>
      <c r="D882" s="767"/>
      <c r="E882" s="767"/>
      <c r="F882" s="843"/>
      <c r="G882" s="903"/>
      <c r="H882" s="1060"/>
      <c r="I882" s="903"/>
      <c r="J882" s="903"/>
      <c r="K882" s="767"/>
    </row>
    <row r="883" spans="1:11">
      <c r="A883" s="768"/>
      <c r="B883" s="767"/>
      <c r="C883" s="767"/>
      <c r="D883" s="767"/>
      <c r="E883" s="767"/>
      <c r="F883" s="843"/>
      <c r="G883" s="903"/>
      <c r="H883" s="1061"/>
      <c r="I883" s="903"/>
      <c r="J883" s="903"/>
      <c r="K883" s="767"/>
    </row>
    <row r="884" spans="1:11" ht="16.5" customHeight="1">
      <c r="A884" s="1047" t="s">
        <v>473</v>
      </c>
      <c r="B884" s="1048"/>
      <c r="C884" s="1049"/>
      <c r="D884" s="767"/>
      <c r="E884" s="767"/>
      <c r="F884" s="767"/>
      <c r="G884" s="767"/>
      <c r="H884" s="768"/>
      <c r="I884" s="767"/>
      <c r="J884" s="767"/>
      <c r="K884" s="767"/>
    </row>
    <row r="885" spans="1:11">
      <c r="A885" s="768"/>
      <c r="B885" s="767"/>
      <c r="C885" s="767"/>
      <c r="D885" s="767"/>
      <c r="E885" s="767"/>
      <c r="F885" s="767"/>
      <c r="G885" s="767"/>
      <c r="H885" s="768"/>
      <c r="I885" s="767"/>
      <c r="J885" s="767"/>
      <c r="K885" s="767"/>
    </row>
    <row r="886" spans="1:11">
      <c r="A886" s="863" t="s">
        <v>60</v>
      </c>
      <c r="B886" s="767"/>
      <c r="C886" s="767"/>
      <c r="D886" s="767"/>
      <c r="E886" s="767"/>
      <c r="F886" s="767"/>
      <c r="G886" s="767"/>
      <c r="H886" s="768"/>
      <c r="I886" s="767"/>
      <c r="J886" s="767"/>
      <c r="K886" s="767"/>
    </row>
    <row r="887" spans="1:11" ht="12" thickBot="1">
      <c r="A887" s="768"/>
      <c r="B887" s="767"/>
      <c r="C887" s="767"/>
      <c r="D887" s="767"/>
      <c r="E887" s="767"/>
      <c r="F887" s="767"/>
      <c r="G887" s="767"/>
      <c r="H887" s="768"/>
      <c r="I887" s="767"/>
      <c r="J887" s="767"/>
      <c r="K887" s="767"/>
    </row>
    <row r="888" spans="1:11" ht="9.75" customHeight="1" thickBot="1">
      <c r="A888" s="948"/>
      <c r="B888" s="905" t="s">
        <v>82</v>
      </c>
      <c r="C888" s="906"/>
      <c r="D888" s="906"/>
      <c r="E888" s="906"/>
      <c r="F888" s="907"/>
      <c r="G888" s="905" t="s">
        <v>83</v>
      </c>
      <c r="H888" s="908"/>
      <c r="I888" s="906"/>
      <c r="J888" s="906"/>
      <c r="K888" s="907"/>
    </row>
    <row r="889" spans="1:11" ht="12" thickBot="1">
      <c r="A889" s="949" t="s">
        <v>474</v>
      </c>
      <c r="B889" s="950" t="s">
        <v>1193</v>
      </c>
      <c r="C889" s="951"/>
      <c r="D889" s="951"/>
      <c r="E889" s="984" t="s">
        <v>475</v>
      </c>
      <c r="F889" s="1016"/>
      <c r="G889" s="950" t="s">
        <v>1193</v>
      </c>
      <c r="H889" s="955"/>
      <c r="I889" s="951"/>
      <c r="J889" s="984" t="s">
        <v>475</v>
      </c>
      <c r="K889" s="1016"/>
    </row>
    <row r="890" spans="1:11" ht="11.25" customHeight="1">
      <c r="A890" s="1062" t="s">
        <v>476</v>
      </c>
      <c r="B890" s="788">
        <f>F64</f>
        <v>0</v>
      </c>
      <c r="C890" s="711"/>
      <c r="D890" s="711"/>
      <c r="E890" s="847" t="e">
        <f>B890/B897</f>
        <v>#DIV/0!</v>
      </c>
      <c r="F890" s="712"/>
      <c r="G890" s="788">
        <f>K64</f>
        <v>0</v>
      </c>
      <c r="H890" s="711"/>
      <c r="I890" s="711"/>
      <c r="J890" s="847" t="e">
        <f>G890/G897</f>
        <v>#DIV/0!</v>
      </c>
      <c r="K890" s="712"/>
    </row>
    <row r="891" spans="1:11" ht="11.25" customHeight="1">
      <c r="A891" s="1050" t="s">
        <v>1123</v>
      </c>
      <c r="B891" s="786">
        <f>F110</f>
        <v>0</v>
      </c>
      <c r="C891" s="713"/>
      <c r="D891" s="713"/>
      <c r="E891" s="848" t="e">
        <f>B891/B897</f>
        <v>#DIV/0!</v>
      </c>
      <c r="F891" s="714"/>
      <c r="G891" s="786">
        <f>K110</f>
        <v>0</v>
      </c>
      <c r="H891" s="713"/>
      <c r="I891" s="713"/>
      <c r="J891" s="848" t="e">
        <f>G891/G897</f>
        <v>#DIV/0!</v>
      </c>
      <c r="K891" s="714"/>
    </row>
    <row r="892" spans="1:11" ht="11.25" customHeight="1">
      <c r="A892" s="1050" t="s">
        <v>477</v>
      </c>
      <c r="B892" s="786">
        <f>F171+F321</f>
        <v>0</v>
      </c>
      <c r="C892" s="713"/>
      <c r="D892" s="713"/>
      <c r="E892" s="848" t="e">
        <f>B892/B897</f>
        <v>#DIV/0!</v>
      </c>
      <c r="F892" s="714"/>
      <c r="G892" s="786">
        <f>K171+K321</f>
        <v>0</v>
      </c>
      <c r="H892" s="713"/>
      <c r="I892" s="713"/>
      <c r="J892" s="848" t="e">
        <f>G892/G897</f>
        <v>#DIV/0!</v>
      </c>
      <c r="K892" s="714"/>
    </row>
    <row r="893" spans="1:11" ht="11.25" customHeight="1">
      <c r="A893" s="1050" t="s">
        <v>478</v>
      </c>
      <c r="B893" s="786">
        <f>F406</f>
        <v>0</v>
      </c>
      <c r="C893" s="713"/>
      <c r="D893" s="713"/>
      <c r="E893" s="848" t="e">
        <f>B893/B897</f>
        <v>#DIV/0!</v>
      </c>
      <c r="F893" s="714"/>
      <c r="G893" s="786">
        <f>K406</f>
        <v>0</v>
      </c>
      <c r="H893" s="713"/>
      <c r="I893" s="713"/>
      <c r="J893" s="848" t="e">
        <f>G893/G897</f>
        <v>#DIV/0!</v>
      </c>
      <c r="K893" s="714"/>
    </row>
    <row r="894" spans="1:11" ht="11.25" customHeight="1">
      <c r="A894" s="1050" t="s">
        <v>479</v>
      </c>
      <c r="B894" s="786">
        <f>F432</f>
        <v>0</v>
      </c>
      <c r="C894" s="713"/>
      <c r="D894" s="713"/>
      <c r="E894" s="848" t="e">
        <f>B894/B897</f>
        <v>#DIV/0!</v>
      </c>
      <c r="F894" s="714"/>
      <c r="G894" s="786">
        <f>K432</f>
        <v>0</v>
      </c>
      <c r="H894" s="713"/>
      <c r="I894" s="713"/>
      <c r="J894" s="848" t="e">
        <f>G894/G897</f>
        <v>#DIV/0!</v>
      </c>
      <c r="K894" s="714"/>
    </row>
    <row r="895" spans="1:11" ht="11.25" customHeight="1">
      <c r="A895" s="1050" t="s">
        <v>480</v>
      </c>
      <c r="B895" s="786">
        <f>F480</f>
        <v>0</v>
      </c>
      <c r="C895" s="713"/>
      <c r="D895" s="713"/>
      <c r="E895" s="848" t="e">
        <f>B895/B897</f>
        <v>#DIV/0!</v>
      </c>
      <c r="F895" s="714"/>
      <c r="G895" s="786">
        <f>K480</f>
        <v>0</v>
      </c>
      <c r="H895" s="713"/>
      <c r="I895" s="713"/>
      <c r="J895" s="848" t="e">
        <f>G895/G897</f>
        <v>#DIV/0!</v>
      </c>
      <c r="K895" s="714"/>
    </row>
    <row r="896" spans="1:11" ht="11.25" customHeight="1">
      <c r="A896" s="1063" t="s">
        <v>481</v>
      </c>
      <c r="B896" s="786">
        <f>F508+F629+F570+F605+F664+F687+F758</f>
        <v>0</v>
      </c>
      <c r="C896" s="713"/>
      <c r="D896" s="713"/>
      <c r="E896" s="848" t="e">
        <f>B896/B897</f>
        <v>#DIV/0!</v>
      </c>
      <c r="F896" s="714"/>
      <c r="G896" s="786">
        <f>K508+K629+K570+K605+K664+K687+K758</f>
        <v>0</v>
      </c>
      <c r="H896" s="713"/>
      <c r="I896" s="713"/>
      <c r="J896" s="848" t="e">
        <f>G896/G897</f>
        <v>#DIV/0!</v>
      </c>
      <c r="K896" s="714"/>
    </row>
    <row r="897" spans="1:11">
      <c r="A897" s="1064" t="s">
        <v>482</v>
      </c>
      <c r="B897" s="792">
        <f>SUM(B890:B896)</f>
        <v>0</v>
      </c>
      <c r="C897" s="513"/>
      <c r="D897" s="513"/>
      <c r="E897" s="716" t="s">
        <v>344</v>
      </c>
      <c r="F897" s="717"/>
      <c r="G897" s="792">
        <f>SUM(G890:G896)</f>
        <v>0</v>
      </c>
      <c r="H897" s="513"/>
      <c r="I897" s="513"/>
      <c r="J897" s="716" t="s">
        <v>344</v>
      </c>
      <c r="K897" s="717"/>
    </row>
    <row r="898" spans="1:11">
      <c r="A898" s="572" t="s">
        <v>483</v>
      </c>
      <c r="B898" s="786">
        <f>IF((B120="NON"),0,100*40.3399*(B36*C36))</f>
        <v>0</v>
      </c>
      <c r="C898" s="633"/>
      <c r="D898" s="633"/>
      <c r="E898" s="637" t="s">
        <v>344</v>
      </c>
      <c r="F898" s="667"/>
      <c r="G898" s="786">
        <f>IF((B120="NON"),0,100*40.3399*(G36*H36))</f>
        <v>0</v>
      </c>
      <c r="H898" s="633"/>
      <c r="I898" s="633"/>
      <c r="J898" s="637" t="s">
        <v>344</v>
      </c>
      <c r="K898" s="667"/>
    </row>
    <row r="899" spans="1:11">
      <c r="A899" s="572" t="s">
        <v>1217</v>
      </c>
      <c r="B899" s="703"/>
      <c r="C899" s="633"/>
      <c r="D899" s="633"/>
      <c r="E899" s="1409" t="s">
        <v>344</v>
      </c>
      <c r="F899" s="1410"/>
      <c r="G899" s="1162"/>
      <c r="H899" s="633"/>
      <c r="I899" s="633"/>
      <c r="J899" s="1409" t="s">
        <v>344</v>
      </c>
      <c r="K899" s="1410"/>
    </row>
    <row r="900" spans="1:11">
      <c r="A900" s="572" t="s">
        <v>484</v>
      </c>
      <c r="B900" s="703"/>
      <c r="C900" s="633"/>
      <c r="D900" s="633"/>
      <c r="E900" s="1440" t="s">
        <v>344</v>
      </c>
      <c r="F900" s="1441"/>
      <c r="G900" s="1162"/>
      <c r="H900" s="633"/>
      <c r="I900" s="633"/>
      <c r="J900" s="637" t="s">
        <v>344</v>
      </c>
      <c r="K900" s="667"/>
    </row>
    <row r="901" spans="1:11">
      <c r="A901" s="572" t="s">
        <v>1218</v>
      </c>
      <c r="B901" s="703"/>
      <c r="C901" s="633"/>
      <c r="D901" s="633"/>
      <c r="E901" s="637" t="s">
        <v>344</v>
      </c>
      <c r="F901" s="667"/>
      <c r="G901" s="1162" t="s">
        <v>1220</v>
      </c>
      <c r="H901" s="633"/>
      <c r="I901" s="633"/>
      <c r="J901" s="637" t="s">
        <v>344</v>
      </c>
      <c r="K901" s="667"/>
    </row>
    <row r="902" spans="1:11">
      <c r="A902" s="572" t="s">
        <v>1219</v>
      </c>
      <c r="B902" s="703"/>
      <c r="C902" s="633"/>
      <c r="D902" s="633"/>
      <c r="E902" s="1440" t="s">
        <v>344</v>
      </c>
      <c r="F902" s="1441"/>
      <c r="G902" s="1162"/>
      <c r="H902" s="633"/>
      <c r="I902" s="633"/>
      <c r="J902" s="637" t="s">
        <v>344</v>
      </c>
      <c r="K902" s="667"/>
    </row>
    <row r="903" spans="1:11">
      <c r="A903" s="715"/>
      <c r="B903" s="718"/>
      <c r="C903" s="719"/>
      <c r="D903" s="719"/>
      <c r="E903" s="720" t="s">
        <v>344</v>
      </c>
      <c r="F903" s="681"/>
      <c r="G903" s="718" t="s">
        <v>1220</v>
      </c>
      <c r="H903" s="719"/>
      <c r="I903" s="719"/>
      <c r="J903" s="720" t="s">
        <v>344</v>
      </c>
      <c r="K903" s="681"/>
    </row>
    <row r="904" spans="1:11" ht="12" thickBot="1">
      <c r="A904" s="1065" t="s">
        <v>485</v>
      </c>
      <c r="B904" s="787">
        <f>SUM(B898:B903)</f>
        <v>0</v>
      </c>
      <c r="C904" s="1066"/>
      <c r="D904" s="1066"/>
      <c r="E904" s="1067" t="s">
        <v>344</v>
      </c>
      <c r="F904" s="1068"/>
      <c r="G904" s="787">
        <f>SUM(G898:G903)</f>
        <v>0</v>
      </c>
      <c r="H904" s="1069"/>
      <c r="I904" s="1069"/>
      <c r="J904" s="1067" t="s">
        <v>344</v>
      </c>
      <c r="K904" s="1068"/>
    </row>
    <row r="905" spans="1:11" ht="12" thickBot="1">
      <c r="A905" s="923" t="s">
        <v>486</v>
      </c>
      <c r="B905" s="789">
        <f>SUM(B904,B897)</f>
        <v>0</v>
      </c>
      <c r="C905" s="987"/>
      <c r="D905" s="987"/>
      <c r="E905" s="988" t="s">
        <v>422</v>
      </c>
      <c r="F905" s="990"/>
      <c r="G905" s="789">
        <f>SUM(G904,G897)</f>
        <v>0</v>
      </c>
      <c r="H905" s="779"/>
      <c r="I905" s="779"/>
      <c r="J905" s="988" t="str">
        <f>E905</f>
        <v>----------------------</v>
      </c>
      <c r="K905" s="990"/>
    </row>
    <row r="906" spans="1:11">
      <c r="A906" s="768"/>
      <c r="B906" s="767"/>
      <c r="C906" s="767"/>
      <c r="D906" s="767"/>
      <c r="E906" s="767"/>
      <c r="F906" s="767"/>
      <c r="G906" s="767"/>
      <c r="H906" s="768"/>
      <c r="I906" s="767"/>
      <c r="J906" s="767"/>
      <c r="K906" s="767"/>
    </row>
    <row r="907" spans="1:11">
      <c r="A907" s="863" t="s">
        <v>61</v>
      </c>
      <c r="B907" s="767"/>
      <c r="C907" s="767"/>
      <c r="D907" s="767"/>
      <c r="E907" s="767"/>
      <c r="F907" s="767"/>
      <c r="G907" s="767"/>
      <c r="H907" s="768"/>
      <c r="I907" s="767"/>
      <c r="J907" s="767"/>
      <c r="K907" s="767"/>
    </row>
    <row r="908" spans="1:11" ht="16.5" customHeight="1" thickBot="1">
      <c r="A908" s="768"/>
      <c r="B908" s="767"/>
      <c r="C908" s="767"/>
      <c r="D908" s="767"/>
      <c r="E908" s="767"/>
      <c r="F908" s="767"/>
      <c r="G908" s="767"/>
      <c r="H908" s="768"/>
      <c r="I908" s="767"/>
      <c r="J908" s="767"/>
      <c r="K908" s="767"/>
    </row>
    <row r="909" spans="1:11" ht="9" customHeight="1" thickBot="1">
      <c r="A909" s="948"/>
      <c r="B909" s="905" t="s">
        <v>82</v>
      </c>
      <c r="C909" s="906"/>
      <c r="D909" s="906"/>
      <c r="E909" s="906"/>
      <c r="F909" s="907"/>
      <c r="G909" s="905" t="s">
        <v>83</v>
      </c>
      <c r="H909" s="908"/>
      <c r="I909" s="906"/>
      <c r="J909" s="906"/>
      <c r="K909" s="907"/>
    </row>
    <row r="910" spans="1:11" ht="12" thickBot="1">
      <c r="A910" s="949" t="s">
        <v>474</v>
      </c>
      <c r="B910" s="950" t="s">
        <v>1193</v>
      </c>
      <c r="C910" s="955"/>
      <c r="D910" s="951"/>
      <c r="E910" s="951"/>
      <c r="F910" s="1016"/>
      <c r="G910" s="950" t="s">
        <v>1193</v>
      </c>
      <c r="H910" s="955"/>
      <c r="I910" s="951"/>
      <c r="J910" s="951"/>
      <c r="K910" s="1016"/>
    </row>
    <row r="911" spans="1:11" ht="10.5" customHeight="1">
      <c r="A911" s="904" t="s">
        <v>487</v>
      </c>
      <c r="B911" s="788">
        <f>B806+B187+B518+B579+B614+B673+B777+B347</f>
        <v>0</v>
      </c>
      <c r="C911" s="1070"/>
      <c r="D911" s="1070"/>
      <c r="E911" s="1070"/>
      <c r="F911" s="1071"/>
      <c r="G911" s="788">
        <f>G806+G187+G518+G579+G614+G673+G777+G347</f>
        <v>0</v>
      </c>
      <c r="H911" s="1072"/>
      <c r="I911" s="1070"/>
      <c r="J911" s="1070"/>
      <c r="K911" s="1071"/>
    </row>
    <row r="912" spans="1:11">
      <c r="A912" s="1050" t="s">
        <v>488</v>
      </c>
      <c r="B912" s="786">
        <f>F830</f>
        <v>0</v>
      </c>
      <c r="C912" s="1073"/>
      <c r="D912" s="1073"/>
      <c r="E912" s="1073"/>
      <c r="F912" s="1074"/>
      <c r="G912" s="786">
        <f>K830</f>
        <v>0</v>
      </c>
      <c r="H912" s="1075"/>
      <c r="I912" s="1073"/>
      <c r="J912" s="1073"/>
      <c r="K912" s="1074"/>
    </row>
    <row r="913" spans="1:11">
      <c r="A913" s="1050" t="s">
        <v>489</v>
      </c>
      <c r="B913" s="786">
        <f>F862</f>
        <v>0</v>
      </c>
      <c r="C913" s="1073"/>
      <c r="D913" s="1073"/>
      <c r="E913" s="1073"/>
      <c r="F913" s="1074"/>
      <c r="G913" s="786">
        <f>K862</f>
        <v>0</v>
      </c>
      <c r="H913" s="1075"/>
      <c r="I913" s="1073"/>
      <c r="J913" s="1073"/>
      <c r="K913" s="1074"/>
    </row>
    <row r="914" spans="1:11" ht="12" thickBot="1">
      <c r="A914" s="1059" t="s">
        <v>490</v>
      </c>
      <c r="B914" s="787">
        <f>F880</f>
        <v>0</v>
      </c>
      <c r="C914" s="1069"/>
      <c r="D914" s="1069"/>
      <c r="E914" s="1069"/>
      <c r="F914" s="1076"/>
      <c r="G914" s="787">
        <f>K880</f>
        <v>0</v>
      </c>
      <c r="H914" s="1077"/>
      <c r="I914" s="1069"/>
      <c r="J914" s="1069"/>
      <c r="K914" s="1076"/>
    </row>
    <row r="915" spans="1:11" ht="12" thickBot="1">
      <c r="A915" s="923" t="s">
        <v>491</v>
      </c>
      <c r="B915" s="789">
        <f>SUM(B911:B914)</f>
        <v>0</v>
      </c>
      <c r="C915" s="779"/>
      <c r="D915" s="779"/>
      <c r="E915" s="779"/>
      <c r="F915" s="1078"/>
      <c r="G915" s="789">
        <f>SUM(G911:G914)</f>
        <v>0</v>
      </c>
      <c r="H915" s="1051"/>
      <c r="I915" s="779"/>
      <c r="J915" s="779"/>
      <c r="K915" s="1078"/>
    </row>
    <row r="916" spans="1:11">
      <c r="A916" s="768"/>
      <c r="B916" s="767"/>
      <c r="C916" s="767"/>
      <c r="D916" s="767"/>
      <c r="E916" s="767"/>
      <c r="F916" s="767"/>
      <c r="G916" s="767"/>
      <c r="H916" s="768"/>
      <c r="I916" s="767"/>
      <c r="J916" s="767"/>
      <c r="K916" s="767"/>
    </row>
    <row r="917" spans="1:11">
      <c r="A917" s="863" t="s">
        <v>62</v>
      </c>
      <c r="B917" s="767"/>
      <c r="C917" s="767"/>
      <c r="D917" s="767"/>
      <c r="E917" s="767"/>
      <c r="F917" s="767"/>
      <c r="G917" s="767"/>
      <c r="H917" s="768"/>
      <c r="I917" s="767"/>
      <c r="J917" s="767"/>
      <c r="K917" s="767"/>
    </row>
    <row r="918" spans="1:11" ht="16.5" customHeight="1" thickBot="1">
      <c r="A918" s="768"/>
      <c r="B918" s="767"/>
      <c r="C918" s="767"/>
      <c r="D918" s="767"/>
      <c r="E918" s="767"/>
      <c r="F918" s="767"/>
      <c r="G918" s="767"/>
      <c r="H918" s="768"/>
      <c r="I918" s="767"/>
      <c r="J918" s="767"/>
      <c r="K918" s="767"/>
    </row>
    <row r="919" spans="1:11" ht="12" thickBot="1">
      <c r="A919" s="948"/>
      <c r="B919" s="905" t="s">
        <v>82</v>
      </c>
      <c r="C919" s="906"/>
      <c r="D919" s="906"/>
      <c r="E919" s="906"/>
      <c r="F919" s="907"/>
      <c r="G919" s="905" t="s">
        <v>83</v>
      </c>
      <c r="H919" s="908"/>
      <c r="I919" s="906"/>
      <c r="J919" s="906"/>
      <c r="K919" s="907"/>
    </row>
    <row r="920" spans="1:11" ht="12" thickBot="1">
      <c r="A920" s="949" t="s">
        <v>474</v>
      </c>
      <c r="B920" s="950" t="s">
        <v>1193</v>
      </c>
      <c r="C920" s="951"/>
      <c r="D920" s="951"/>
      <c r="E920" s="984" t="s">
        <v>492</v>
      </c>
      <c r="F920" s="1016"/>
      <c r="G920" s="950" t="s">
        <v>1193</v>
      </c>
      <c r="H920" s="955"/>
      <c r="I920" s="951"/>
      <c r="J920" s="984" t="s">
        <v>492</v>
      </c>
      <c r="K920" s="1016"/>
    </row>
    <row r="921" spans="1:11" ht="9.75" customHeight="1">
      <c r="A921" s="1079" t="s">
        <v>493</v>
      </c>
      <c r="B921" s="793">
        <f>B905-B915</f>
        <v>0</v>
      </c>
      <c r="C921" s="1080"/>
      <c r="D921" s="1080"/>
      <c r="E921" s="1081" t="s">
        <v>494</v>
      </c>
      <c r="F921" s="1082"/>
      <c r="G921" s="793">
        <f>G905-G915</f>
        <v>0</v>
      </c>
      <c r="H921" s="1080"/>
      <c r="I921" s="1080"/>
      <c r="J921" s="1081" t="s">
        <v>494</v>
      </c>
      <c r="K921" s="1082"/>
    </row>
    <row r="922" spans="1:11">
      <c r="A922" s="1050" t="s">
        <v>495</v>
      </c>
      <c r="B922" s="786"/>
      <c r="C922" s="1073"/>
      <c r="D922" s="1073"/>
      <c r="E922" s="1083" t="s">
        <v>494</v>
      </c>
      <c r="F922" s="819"/>
      <c r="G922" s="786"/>
      <c r="H922" s="1073"/>
      <c r="I922" s="1073"/>
      <c r="J922" s="1083" t="s">
        <v>494</v>
      </c>
      <c r="K922" s="819"/>
    </row>
    <row r="923" spans="1:11">
      <c r="A923" s="1050" t="s">
        <v>496</v>
      </c>
      <c r="B923" s="721"/>
      <c r="C923" s="1191"/>
      <c r="D923" s="1191"/>
      <c r="E923" s="1084" t="e">
        <f>B923/B924</f>
        <v>#DIV/0!</v>
      </c>
      <c r="F923" s="1074"/>
      <c r="G923" s="1162">
        <v>0</v>
      </c>
      <c r="H923" s="1191"/>
      <c r="I923" s="1191"/>
      <c r="J923" s="1084" t="e">
        <f>G923/G924</f>
        <v>#DIV/0!</v>
      </c>
      <c r="K923" s="1074"/>
    </row>
    <row r="924" spans="1:11">
      <c r="A924" s="1052" t="s">
        <v>497</v>
      </c>
      <c r="B924" s="794">
        <f>BUDG_REV_EXPL_AV</f>
        <v>0</v>
      </c>
      <c r="C924" s="1073"/>
      <c r="D924" s="1073"/>
      <c r="E924" s="1085"/>
      <c r="F924" s="916"/>
      <c r="G924" s="794">
        <f>SUM(G922:G923)</f>
        <v>0</v>
      </c>
      <c r="H924" s="1073"/>
      <c r="I924" s="1073"/>
      <c r="J924" s="1085"/>
      <c r="K924" s="916"/>
    </row>
    <row r="925" spans="1:11" ht="12" thickBot="1">
      <c r="A925" s="1086" t="s">
        <v>498</v>
      </c>
      <c r="B925" s="708"/>
      <c r="C925" s="1066"/>
      <c r="D925" s="1066"/>
      <c r="E925" s="1407"/>
      <c r="F925" s="1408"/>
      <c r="G925" s="1163"/>
      <c r="H925" s="1066"/>
      <c r="I925" s="1066"/>
      <c r="J925" s="1087" t="s">
        <v>1220</v>
      </c>
      <c r="K925" s="819"/>
    </row>
    <row r="926" spans="1:11" ht="12" thickBot="1">
      <c r="A926" s="1088" t="s">
        <v>499</v>
      </c>
      <c r="B926" s="1434" t="e">
        <f>B924/B925</f>
        <v>#DIV/0!</v>
      </c>
      <c r="C926" s="1435"/>
      <c r="D926" s="1436"/>
      <c r="E926" s="956"/>
      <c r="F926" s="1089"/>
      <c r="G926" s="1434" t="e">
        <f>G924/G925</f>
        <v>#DIV/0!</v>
      </c>
      <c r="H926" s="1435"/>
      <c r="I926" s="1436"/>
      <c r="J926" s="956"/>
      <c r="K926" s="1089"/>
    </row>
    <row r="927" spans="1:11" ht="12" thickBot="1">
      <c r="A927" s="1014" t="s">
        <v>500</v>
      </c>
      <c r="B927" s="795">
        <v>24352.240000000002</v>
      </c>
      <c r="C927" s="795"/>
      <c r="D927" s="795"/>
      <c r="E927" s="1090" t="e">
        <f>B926/B927</f>
        <v>#DIV/0!</v>
      </c>
      <c r="F927" s="1091"/>
      <c r="G927" s="795">
        <v>24352.240000000002</v>
      </c>
      <c r="H927" s="795"/>
      <c r="I927" s="795"/>
      <c r="J927" s="1090" t="e">
        <f>G926/G927</f>
        <v>#DIV/0!</v>
      </c>
      <c r="K927" s="1091"/>
    </row>
    <row r="928" spans="1:11" ht="15.75" hidden="1" customHeight="1" thickBot="1">
      <c r="A928" s="1014" t="s">
        <v>922</v>
      </c>
      <c r="B928" s="795">
        <f>23735.13</f>
        <v>23735.13</v>
      </c>
      <c r="C928" s="795"/>
      <c r="D928" s="795"/>
      <c r="E928" s="1090" t="e">
        <f>B921/(B925*B928)</f>
        <v>#DIV/0!</v>
      </c>
      <c r="F928" s="1091"/>
      <c r="G928" s="795">
        <f>B928</f>
        <v>23735.13</v>
      </c>
      <c r="H928" s="795"/>
      <c r="I928" s="795"/>
      <c r="J928" s="1090" t="e">
        <f>G921/(G925*G928)</f>
        <v>#DIV/0!</v>
      </c>
      <c r="K928" s="1091"/>
    </row>
    <row r="929" spans="1:13" ht="18.75" customHeight="1">
      <c r="A929" s="1092" t="s">
        <v>501</v>
      </c>
      <c r="B929" s="517"/>
    </row>
    <row r="930" spans="1:13" ht="16.5" customHeight="1">
      <c r="F930" s="833" t="str">
        <f>XONLOC &amp; "  le,"</f>
        <v xml:space="preserve">   le,</v>
      </c>
      <c r="G930" s="1404">
        <f>J6</f>
        <v>0</v>
      </c>
      <c r="H930" s="1404"/>
      <c r="I930" s="1404"/>
    </row>
    <row r="931" spans="1:13" ht="16.5" hidden="1" customHeight="1" thickBot="1">
      <c r="E931" s="1405">
        <f>N9</f>
        <v>0</v>
      </c>
      <c r="F931" s="1405"/>
      <c r="G931" s="842">
        <f xml:space="preserve"> N6</f>
        <v>0</v>
      </c>
      <c r="H931" s="722"/>
      <c r="I931" s="557"/>
      <c r="M931" s="528">
        <f>J12</f>
        <v>0</v>
      </c>
    </row>
    <row r="932" spans="1:13">
      <c r="F932" s="723"/>
      <c r="G932" s="723"/>
      <c r="H932" s="656"/>
      <c r="I932" s="723"/>
    </row>
    <row r="933" spans="1:13" ht="15" customHeight="1">
      <c r="F933" s="723"/>
      <c r="G933" s="723"/>
      <c r="H933" s="656"/>
      <c r="I933" s="723"/>
    </row>
    <row r="934" spans="1:13">
      <c r="F934" s="723"/>
      <c r="G934" s="723"/>
      <c r="H934" s="656"/>
      <c r="I934" s="723"/>
    </row>
    <row r="935" spans="1:13">
      <c r="E935" s="1405" t="e">
        <f>XONNOM &amp; " " &amp; B8</f>
        <v>#VALUE!</v>
      </c>
      <c r="F935" s="1405"/>
      <c r="G935" s="1405"/>
      <c r="H935" s="1405"/>
      <c r="I935" s="524"/>
    </row>
    <row r="936" spans="1:13">
      <c r="G936" s="557"/>
      <c r="H936" s="710"/>
    </row>
    <row r="937" spans="1:13" hidden="1">
      <c r="F937" s="520"/>
      <c r="G937" s="1433"/>
      <c r="H937" s="1433"/>
      <c r="I937" s="1433"/>
      <c r="J937" s="1433"/>
    </row>
    <row r="938" spans="1:13" ht="12" hidden="1" thickBot="1">
      <c r="F938" s="520"/>
      <c r="G938" s="557"/>
      <c r="H938" s="710"/>
      <c r="I938" s="557"/>
      <c r="J938" s="557"/>
    </row>
    <row r="939" spans="1:13" s="768" customFormat="1" hidden="1">
      <c r="A939" s="1259" t="s">
        <v>1194</v>
      </c>
      <c r="B939" s="1260"/>
      <c r="C939" s="1260"/>
      <c r="D939" s="1260"/>
      <c r="E939" s="1260"/>
      <c r="F939" s="1209"/>
      <c r="G939" s="1046"/>
      <c r="H939" s="1261"/>
      <c r="I939" s="767"/>
      <c r="J939" s="767"/>
      <c r="K939" s="767"/>
    </row>
    <row r="940" spans="1:13" s="768" customFormat="1" ht="12" hidden="1" thickBot="1">
      <c r="A940" s="1262" t="s">
        <v>502</v>
      </c>
      <c r="B940" s="918"/>
      <c r="C940" s="918"/>
      <c r="D940" s="918"/>
      <c r="E940" s="918"/>
      <c r="F940" s="1263"/>
      <c r="G940" s="1046"/>
      <c r="H940" s="1261"/>
      <c r="I940" s="767"/>
      <c r="J940" s="767"/>
      <c r="K940" s="767"/>
    </row>
    <row r="941" spans="1:13" s="768" customFormat="1" hidden="1">
      <c r="A941" s="914"/>
      <c r="B941" s="915"/>
      <c r="C941" s="915"/>
      <c r="D941" s="915"/>
      <c r="E941" s="915"/>
      <c r="F941" s="915"/>
      <c r="G941" s="767"/>
      <c r="I941" s="767"/>
      <c r="J941" s="767"/>
      <c r="K941" s="767"/>
    </row>
    <row r="942" spans="1:13" s="768" customFormat="1" hidden="1">
      <c r="A942" s="1264" t="s">
        <v>503</v>
      </c>
      <c r="B942" s="915" t="s">
        <v>1112</v>
      </c>
      <c r="C942" s="915"/>
      <c r="D942" s="1035" t="s">
        <v>1113</v>
      </c>
      <c r="E942" s="915"/>
      <c r="F942" s="915"/>
      <c r="G942" s="767"/>
      <c r="I942" s="767"/>
      <c r="J942" s="767"/>
      <c r="K942" s="767"/>
    </row>
    <row r="943" spans="1:13" s="768" customFormat="1" hidden="1">
      <c r="A943" s="914"/>
      <c r="B943" s="915"/>
      <c r="C943" s="1035"/>
      <c r="D943" s="1265" t="s">
        <v>1114</v>
      </c>
      <c r="E943" s="1035"/>
      <c r="F943" s="915"/>
      <c r="G943" s="767"/>
      <c r="I943" s="767"/>
      <c r="J943" s="767"/>
      <c r="K943" s="767"/>
    </row>
    <row r="944" spans="1:13" s="768" customFormat="1" hidden="1">
      <c r="A944" s="1266" t="s">
        <v>504</v>
      </c>
      <c r="B944" s="915"/>
      <c r="C944" s="915"/>
      <c r="D944" s="915"/>
      <c r="E944" s="915"/>
      <c r="F944" s="915"/>
      <c r="G944" s="767"/>
      <c r="I944" s="767"/>
      <c r="J944" s="767"/>
      <c r="K944" s="767"/>
    </row>
    <row r="945" spans="1:11" s="768" customFormat="1" hidden="1">
      <c r="A945" s="1266"/>
      <c r="B945" s="915"/>
      <c r="C945" s="915"/>
      <c r="D945" s="915"/>
      <c r="E945" s="915"/>
      <c r="F945" s="915"/>
      <c r="G945" s="767"/>
      <c r="I945" s="767"/>
      <c r="J945" s="767"/>
      <c r="K945" s="767"/>
    </row>
    <row r="946" spans="1:11" s="768" customFormat="1" hidden="1">
      <c r="A946" s="1032" t="s">
        <v>1195</v>
      </c>
      <c r="B946" s="767"/>
      <c r="C946" s="767"/>
      <c r="D946" s="767"/>
      <c r="E946" s="767"/>
      <c r="F946" s="767"/>
      <c r="G946" s="767"/>
      <c r="H946" s="1267" t="s">
        <v>505</v>
      </c>
      <c r="I946" s="829">
        <f>Valeurs!F197</f>
        <v>0</v>
      </c>
      <c r="J946" s="903"/>
      <c r="K946" s="767"/>
    </row>
    <row r="947" spans="1:11" s="768" customFormat="1" ht="12" hidden="1" thickBot="1">
      <c r="B947" s="919"/>
      <c r="C947" s="767"/>
      <c r="D947" s="767"/>
      <c r="E947" s="767"/>
      <c r="F947" s="767"/>
      <c r="G947" s="767"/>
      <c r="I947" s="767"/>
      <c r="J947" s="767"/>
      <c r="K947" s="767"/>
    </row>
    <row r="948" spans="1:11" s="768" customFormat="1" hidden="1">
      <c r="A948" s="1268" t="s">
        <v>258</v>
      </c>
      <c r="B948" s="963"/>
      <c r="C948" s="951"/>
      <c r="D948" s="951"/>
      <c r="E948" s="1016"/>
      <c r="F948" s="951" t="s">
        <v>230</v>
      </c>
      <c r="G948" s="1015"/>
      <c r="H948" s="955" t="s">
        <v>1364</v>
      </c>
      <c r="I948" s="1015"/>
      <c r="J948" s="951" t="s">
        <v>506</v>
      </c>
      <c r="K948" s="1016"/>
    </row>
    <row r="949" spans="1:11" s="768" customFormat="1" ht="12" hidden="1" thickBot="1">
      <c r="A949" s="1269"/>
      <c r="B949" s="1270" t="s">
        <v>494</v>
      </c>
      <c r="C949" s="957"/>
      <c r="D949" s="957"/>
      <c r="E949" s="1089"/>
      <c r="F949" s="957" t="s">
        <v>507</v>
      </c>
      <c r="G949" s="1271"/>
      <c r="H949" s="1272" t="s">
        <v>494</v>
      </c>
      <c r="I949" s="1271"/>
      <c r="J949" s="1273" t="s">
        <v>494</v>
      </c>
      <c r="K949" s="1089"/>
    </row>
    <row r="950" spans="1:11" s="768" customFormat="1" hidden="1">
      <c r="A950" s="1274" t="s">
        <v>508</v>
      </c>
      <c r="B950" s="912"/>
      <c r="C950" s="912"/>
      <c r="D950" s="912"/>
      <c r="E950" s="913"/>
      <c r="F950" s="1070">
        <f>G368+G369+G370+G371</f>
        <v>0</v>
      </c>
      <c r="G950" s="1070"/>
      <c r="H950" s="1275">
        <v>1</v>
      </c>
      <c r="I950" s="963"/>
      <c r="J950" s="1276">
        <f>F950*H950</f>
        <v>0</v>
      </c>
      <c r="K950" s="1071"/>
    </row>
    <row r="951" spans="1:11" s="768" customFormat="1" hidden="1">
      <c r="A951" s="1277" t="s">
        <v>509</v>
      </c>
      <c r="B951" s="915"/>
      <c r="C951" s="915"/>
      <c r="D951" s="915"/>
      <c r="E951" s="916"/>
      <c r="F951" s="1073">
        <f>G372+G373+G376+G377</f>
        <v>0</v>
      </c>
      <c r="G951" s="1073"/>
      <c r="H951" s="1278">
        <v>0.6</v>
      </c>
      <c r="I951" s="968"/>
      <c r="J951" s="832">
        <f>F951*H951</f>
        <v>0</v>
      </c>
      <c r="K951" s="1074"/>
    </row>
    <row r="952" spans="1:11" s="768" customFormat="1" ht="12" hidden="1" thickBot="1">
      <c r="A952" s="1279" t="s">
        <v>1359</v>
      </c>
      <c r="B952" s="919"/>
      <c r="C952" s="919"/>
      <c r="D952" s="919"/>
      <c r="E952" s="920"/>
      <c r="F952" s="787">
        <f>G374+G375</f>
        <v>0</v>
      </c>
      <c r="G952" s="1069"/>
      <c r="H952" s="1280">
        <v>0.4</v>
      </c>
      <c r="I952" s="1192"/>
      <c r="J952" s="1281">
        <f>F952*H952</f>
        <v>0</v>
      </c>
      <c r="K952" s="1076"/>
    </row>
    <row r="953" spans="1:11" s="768" customFormat="1" ht="12" hidden="1" thickBot="1">
      <c r="A953" s="1010" t="s">
        <v>510</v>
      </c>
      <c r="B953" s="1009"/>
      <c r="C953" s="1009"/>
      <c r="D953" s="1009"/>
      <c r="E953" s="978"/>
      <c r="F953" s="810" t="s">
        <v>291</v>
      </c>
      <c r="G953" s="970"/>
      <c r="H953" s="1282" t="s">
        <v>257</v>
      </c>
      <c r="I953" s="970"/>
      <c r="J953" s="1283">
        <f>J950+J951+J952</f>
        <v>0</v>
      </c>
      <c r="K953" s="1078"/>
    </row>
    <row r="954" spans="1:11" s="768" customFormat="1" ht="12" hidden="1" thickBot="1">
      <c r="B954" s="767"/>
      <c r="C954" s="767"/>
      <c r="D954" s="767"/>
      <c r="E954" s="767"/>
      <c r="F954" s="767"/>
      <c r="G954" s="767"/>
      <c r="I954" s="767"/>
      <c r="J954" s="767"/>
      <c r="K954" s="767"/>
    </row>
    <row r="955" spans="1:11" s="768" customFormat="1" ht="12" hidden="1" thickBot="1">
      <c r="A955" s="1284" t="s">
        <v>511</v>
      </c>
      <c r="B955" s="796" t="e">
        <f>IF(J968=0,J953/I946,0)</f>
        <v>#DIV/0!</v>
      </c>
      <c r="C955" s="1091"/>
      <c r="D955" s="767"/>
      <c r="E955" s="767"/>
      <c r="F955" s="767"/>
      <c r="G955" s="767"/>
      <c r="I955" s="767"/>
      <c r="J955" s="767"/>
      <c r="K955" s="767"/>
    </row>
    <row r="956" spans="1:11" s="768" customFormat="1" ht="18" hidden="1" customHeight="1">
      <c r="B956" s="767"/>
      <c r="C956" s="767"/>
      <c r="D956" s="767"/>
      <c r="E956" s="767"/>
      <c r="F956" s="767"/>
      <c r="G956" s="767"/>
      <c r="I956" s="767"/>
      <c r="J956" s="767"/>
      <c r="K956" s="767"/>
    </row>
    <row r="957" spans="1:11" s="768" customFormat="1" hidden="1">
      <c r="A957" s="863" t="s">
        <v>512</v>
      </c>
      <c r="B957" s="767"/>
      <c r="C957" s="767"/>
      <c r="D957" s="767"/>
      <c r="E957" s="767"/>
      <c r="F957" s="767"/>
      <c r="G957" s="767"/>
      <c r="I957" s="767"/>
      <c r="J957" s="767"/>
      <c r="K957" s="767"/>
    </row>
    <row r="958" spans="1:11" s="768" customFormat="1" hidden="1">
      <c r="B958" s="767"/>
      <c r="C958" s="767"/>
      <c r="D958" s="767"/>
      <c r="E958" s="767"/>
      <c r="F958" s="767"/>
      <c r="G958" s="767"/>
      <c r="I958" s="767"/>
      <c r="J958" s="767"/>
      <c r="K958" s="767"/>
    </row>
    <row r="959" spans="1:11" s="768" customFormat="1" hidden="1">
      <c r="A959" s="768" t="s">
        <v>513</v>
      </c>
      <c r="B959" s="767"/>
      <c r="C959" s="767"/>
      <c r="D959" s="767"/>
      <c r="E959" s="767"/>
      <c r="F959" s="767"/>
      <c r="G959" s="767"/>
      <c r="I959" s="767"/>
      <c r="J959" s="767"/>
      <c r="K959" s="767"/>
    </row>
    <row r="960" spans="1:11" s="768" customFormat="1" ht="12" hidden="1" thickBot="1">
      <c r="B960" s="919"/>
      <c r="C960" s="767"/>
      <c r="D960" s="767"/>
      <c r="E960" s="767"/>
      <c r="F960" s="767"/>
      <c r="G960" s="767"/>
      <c r="I960" s="767"/>
      <c r="J960" s="767"/>
      <c r="K960" s="767"/>
    </row>
    <row r="961" spans="1:11" s="768" customFormat="1" hidden="1">
      <c r="A961" s="1268" t="s">
        <v>258</v>
      </c>
      <c r="B961" s="963"/>
      <c r="C961" s="951"/>
      <c r="D961" s="951"/>
      <c r="E961" s="1016"/>
      <c r="F961" s="950" t="s">
        <v>230</v>
      </c>
      <c r="G961" s="1015"/>
      <c r="H961" s="955" t="s">
        <v>1364</v>
      </c>
      <c r="I961" s="1015"/>
      <c r="J961" s="951" t="s">
        <v>506</v>
      </c>
      <c r="K961" s="1016"/>
    </row>
    <row r="962" spans="1:11" s="768" customFormat="1" ht="12" hidden="1" thickBot="1">
      <c r="A962" s="1279"/>
      <c r="B962" s="1273" t="s">
        <v>494</v>
      </c>
      <c r="C962" s="957"/>
      <c r="D962" s="957"/>
      <c r="E962" s="1089"/>
      <c r="F962" s="956" t="s">
        <v>507</v>
      </c>
      <c r="G962" s="1271"/>
      <c r="H962" s="1272" t="s">
        <v>494</v>
      </c>
      <c r="I962" s="1271"/>
      <c r="J962" s="1273" t="s">
        <v>494</v>
      </c>
      <c r="K962" s="1089"/>
    </row>
    <row r="963" spans="1:11" s="768" customFormat="1" hidden="1">
      <c r="A963" s="1285" t="s">
        <v>514</v>
      </c>
      <c r="B963" s="912"/>
      <c r="C963" s="912"/>
      <c r="D963" s="912"/>
      <c r="E963" s="913"/>
      <c r="F963" s="827">
        <f>G358+G359+G360+G361+G378</f>
        <v>0</v>
      </c>
      <c r="G963" s="1286"/>
      <c r="H963" s="1275">
        <v>1</v>
      </c>
      <c r="I963" s="963"/>
      <c r="J963" s="1276">
        <f>F963*H963</f>
        <v>0</v>
      </c>
      <c r="K963" s="1071"/>
    </row>
    <row r="964" spans="1:11" s="768" customFormat="1" hidden="1">
      <c r="A964" s="1277" t="s">
        <v>1115</v>
      </c>
      <c r="B964" s="915"/>
      <c r="C964" s="915"/>
      <c r="D964" s="915"/>
      <c r="E964" s="916"/>
      <c r="F964" s="828">
        <f>G362+G363</f>
        <v>0</v>
      </c>
      <c r="G964" s="1287"/>
      <c r="H964" s="1278">
        <v>0.6</v>
      </c>
      <c r="I964" s="968"/>
      <c r="J964" s="832">
        <f>F964*H964</f>
        <v>0</v>
      </c>
      <c r="K964" s="1074"/>
    </row>
    <row r="965" spans="1:11" s="768" customFormat="1" hidden="1">
      <c r="A965" s="1277" t="s">
        <v>1365</v>
      </c>
      <c r="B965" s="915"/>
      <c r="C965" s="915"/>
      <c r="D965" s="915"/>
      <c r="E965" s="916"/>
      <c r="F965" s="828">
        <f>G364+G365</f>
        <v>0</v>
      </c>
      <c r="G965" s="1287"/>
      <c r="H965" s="1278">
        <v>0.4</v>
      </c>
      <c r="I965" s="968"/>
      <c r="J965" s="832">
        <f>F965*H965</f>
        <v>0</v>
      </c>
      <c r="K965" s="1074"/>
    </row>
    <row r="966" spans="1:11" s="768" customFormat="1" hidden="1">
      <c r="A966" s="1277" t="s">
        <v>515</v>
      </c>
      <c r="B966" s="915"/>
      <c r="C966" s="915"/>
      <c r="D966" s="915"/>
      <c r="E966" s="916"/>
      <c r="F966" s="727"/>
      <c r="G966" s="1287"/>
      <c r="H966" s="1278">
        <v>1</v>
      </c>
      <c r="I966" s="968"/>
      <c r="J966" s="832">
        <f>F966*H966</f>
        <v>0</v>
      </c>
      <c r="K966" s="1074"/>
    </row>
    <row r="967" spans="1:11" s="768" customFormat="1" ht="12" hidden="1" thickBot="1">
      <c r="A967" s="1279" t="s">
        <v>516</v>
      </c>
      <c r="B967" s="919"/>
      <c r="C967" s="919"/>
      <c r="D967" s="919"/>
      <c r="E967" s="920"/>
      <c r="F967" s="729"/>
      <c r="G967" s="1288"/>
      <c r="H967" s="1280">
        <v>0.15</v>
      </c>
      <c r="I967" s="1192"/>
      <c r="J967" s="1281">
        <f>F967*H967</f>
        <v>0</v>
      </c>
      <c r="K967" s="1076"/>
    </row>
    <row r="968" spans="1:11" s="768" customFormat="1" ht="12" hidden="1" thickBot="1">
      <c r="A968" s="1010" t="s">
        <v>517</v>
      </c>
      <c r="B968" s="1009"/>
      <c r="C968" s="1009"/>
      <c r="D968" s="1009"/>
      <c r="E968" s="978"/>
      <c r="F968" s="810" t="s">
        <v>257</v>
      </c>
      <c r="G968" s="970"/>
      <c r="H968" s="1282" t="s">
        <v>365</v>
      </c>
      <c r="I968" s="970"/>
      <c r="J968" s="1283">
        <f>SUM(J963:J967)</f>
        <v>0</v>
      </c>
      <c r="K968" s="1078"/>
    </row>
    <row r="969" spans="1:11" s="768" customFormat="1" hidden="1">
      <c r="B969" s="767"/>
      <c r="C969" s="767"/>
      <c r="D969" s="767"/>
      <c r="E969" s="767"/>
      <c r="F969" s="767"/>
      <c r="G969" s="767"/>
      <c r="I969" s="767"/>
      <c r="J969" s="767"/>
      <c r="K969" s="767"/>
    </row>
    <row r="970" spans="1:11" s="768" customFormat="1" hidden="1">
      <c r="B970" s="767"/>
      <c r="C970" s="767"/>
      <c r="D970" s="767"/>
      <c r="E970" s="843" t="s">
        <v>1198</v>
      </c>
      <c r="F970" s="1289" t="s">
        <v>1116</v>
      </c>
      <c r="G970" s="1290" t="s">
        <v>1206</v>
      </c>
      <c r="H970" s="1291">
        <f>IF(J968=0,0,J953/(J953+J968)*Valeurs!F197)</f>
        <v>0</v>
      </c>
      <c r="I970" s="829"/>
      <c r="J970" s="767"/>
      <c r="K970" s="767"/>
    </row>
    <row r="971" spans="1:11" s="768" customFormat="1" ht="12" hidden="1" thickBot="1">
      <c r="B971" s="767"/>
      <c r="C971" s="767"/>
      <c r="D971" s="767"/>
      <c r="E971" s="767"/>
      <c r="F971" s="902" t="s">
        <v>1117</v>
      </c>
      <c r="G971" s="767"/>
      <c r="I971" s="767"/>
      <c r="J971" s="767"/>
      <c r="K971" s="767"/>
    </row>
    <row r="972" spans="1:11" s="768" customFormat="1" ht="12" hidden="1" thickBot="1">
      <c r="A972" s="1042"/>
      <c r="B972" s="767"/>
      <c r="C972" s="767"/>
      <c r="D972" s="1292"/>
      <c r="E972" s="1293" t="s">
        <v>1196</v>
      </c>
      <c r="F972" s="1294" t="s">
        <v>1207</v>
      </c>
      <c r="G972" s="1431">
        <f>IF(J968=0,0,J953/H970)</f>
        <v>0</v>
      </c>
      <c r="H972" s="1432"/>
      <c r="I972" s="767"/>
      <c r="J972" s="767"/>
      <c r="K972" s="767"/>
    </row>
    <row r="973" spans="1:11" s="768" customFormat="1" hidden="1">
      <c r="A973" s="1042"/>
      <c r="B973" s="767"/>
      <c r="C973" s="767"/>
      <c r="D973" s="767"/>
      <c r="E973" s="767"/>
      <c r="F973" s="767"/>
      <c r="G973" s="1295"/>
      <c r="I973" s="767"/>
      <c r="J973" s="767"/>
      <c r="K973" s="767"/>
    </row>
    <row r="974" spans="1:11" s="768" customFormat="1" hidden="1">
      <c r="A974" s="863" t="s">
        <v>519</v>
      </c>
      <c r="B974" s="767"/>
      <c r="C974" s="767"/>
      <c r="D974" s="767"/>
      <c r="E974" s="767"/>
      <c r="F974" s="767"/>
      <c r="G974" s="767"/>
      <c r="I974" s="767"/>
      <c r="J974" s="767"/>
      <c r="K974" s="767"/>
    </row>
    <row r="975" spans="1:11" s="768" customFormat="1" hidden="1">
      <c r="B975" s="767"/>
      <c r="C975" s="767"/>
      <c r="D975" s="767"/>
      <c r="E975" s="767"/>
      <c r="F975" s="767"/>
      <c r="G975" s="767"/>
      <c r="I975" s="767"/>
      <c r="J975" s="767"/>
      <c r="K975" s="767"/>
    </row>
    <row r="976" spans="1:11" s="768" customFormat="1" hidden="1">
      <c r="A976" s="768" t="s">
        <v>520</v>
      </c>
      <c r="B976" s="767"/>
      <c r="C976" s="767"/>
      <c r="D976" s="767"/>
      <c r="E976" s="767"/>
      <c r="F976" s="767"/>
      <c r="G976" s="767"/>
      <c r="I976" s="767"/>
      <c r="J976" s="767"/>
      <c r="K976" s="767"/>
    </row>
    <row r="977" spans="1:11" s="768" customFormat="1" hidden="1">
      <c r="B977" s="767"/>
      <c r="C977" s="767"/>
      <c r="D977" s="767"/>
      <c r="E977" s="767"/>
      <c r="F977" s="767"/>
      <c r="G977" s="767"/>
      <c r="I977" s="767"/>
      <c r="J977" s="767"/>
      <c r="K977" s="767"/>
    </row>
    <row r="978" spans="1:11" s="768" customFormat="1" hidden="1">
      <c r="B978" s="767"/>
      <c r="C978" s="767"/>
      <c r="D978" s="767"/>
      <c r="E978" s="767"/>
      <c r="F978" s="767"/>
      <c r="G978" s="767"/>
      <c r="H978" s="1098" t="s">
        <v>1197</v>
      </c>
      <c r="I978" s="1296" t="s">
        <v>1208</v>
      </c>
      <c r="J978" s="1289" t="s">
        <v>1116</v>
      </c>
      <c r="K978" s="1031" t="s">
        <v>1118</v>
      </c>
    </row>
    <row r="979" spans="1:11" s="768" customFormat="1" hidden="1">
      <c r="B979" s="767"/>
      <c r="C979" s="1031" t="s">
        <v>521</v>
      </c>
      <c r="D979" s="767"/>
      <c r="E979" s="767"/>
      <c r="F979" s="767"/>
      <c r="G979" s="767"/>
      <c r="I979" s="767"/>
      <c r="J979" s="1296" t="s">
        <v>1119</v>
      </c>
      <c r="K979" s="767"/>
    </row>
    <row r="980" spans="1:11" s="768" customFormat="1" ht="12" hidden="1" thickBot="1">
      <c r="B980" s="767"/>
      <c r="C980" s="767" t="s">
        <v>522</v>
      </c>
      <c r="D980" s="767"/>
      <c r="E980" s="767"/>
      <c r="F980" s="767"/>
      <c r="G980" s="767"/>
      <c r="I980" s="767"/>
      <c r="J980" s="767"/>
      <c r="K980" s="842"/>
    </row>
    <row r="981" spans="1:11" s="768" customFormat="1" ht="12" hidden="1" thickBot="1">
      <c r="B981" s="767"/>
      <c r="C981" s="767"/>
      <c r="D981" s="767"/>
      <c r="E981" s="767"/>
      <c r="F981" s="1292"/>
      <c r="G981" s="1297"/>
      <c r="H981" s="1298" t="s">
        <v>518</v>
      </c>
      <c r="I981" s="1299" t="s">
        <v>1209</v>
      </c>
      <c r="J981" s="731"/>
      <c r="K981" s="767"/>
    </row>
    <row r="982" spans="1:11" s="768" customFormat="1" hidden="1">
      <c r="B982" s="767"/>
      <c r="C982" s="767"/>
      <c r="D982" s="767"/>
      <c r="E982" s="767"/>
      <c r="F982" s="767"/>
      <c r="G982" s="767"/>
      <c r="H982" s="1098"/>
      <c r="I982" s="1031"/>
      <c r="J982" s="829"/>
      <c r="K982" s="767"/>
    </row>
    <row r="983" spans="1:11" s="768" customFormat="1" hidden="1">
      <c r="B983" s="767"/>
      <c r="C983" s="767"/>
      <c r="D983" s="767"/>
      <c r="E983" s="767"/>
      <c r="F983" s="833" t="e">
        <f>N5 &amp; "  le,"</f>
        <v>#VALUE!</v>
      </c>
      <c r="G983" s="1404">
        <f>J7</f>
        <v>0</v>
      </c>
      <c r="H983" s="1404"/>
      <c r="I983" s="1404"/>
      <c r="J983" s="829"/>
      <c r="K983" s="767"/>
    </row>
    <row r="984" spans="1:11" s="768" customFormat="1" hidden="1">
      <c r="B984" s="767"/>
      <c r="C984" s="767"/>
      <c r="D984" s="767"/>
      <c r="E984" s="1403">
        <f>N9</f>
        <v>0</v>
      </c>
      <c r="F984" s="1403"/>
      <c r="G984" s="842">
        <f xml:space="preserve"> N6</f>
        <v>0</v>
      </c>
      <c r="H984" s="1267"/>
      <c r="I984" s="903"/>
      <c r="J984" s="829"/>
      <c r="K984" s="767"/>
    </row>
    <row r="985" spans="1:11" s="768" customFormat="1" hidden="1">
      <c r="B985" s="767"/>
      <c r="C985" s="767"/>
      <c r="D985" s="767"/>
      <c r="E985" s="767"/>
      <c r="F985" s="1295"/>
      <c r="G985" s="1295"/>
      <c r="H985" s="1300"/>
      <c r="I985" s="1295"/>
      <c r="J985" s="829"/>
      <c r="K985" s="767"/>
    </row>
    <row r="986" spans="1:11" s="768" customFormat="1" hidden="1">
      <c r="B986" s="767"/>
      <c r="C986" s="767"/>
      <c r="D986" s="767"/>
      <c r="E986" s="767"/>
      <c r="F986" s="1295"/>
      <c r="G986" s="1295"/>
      <c r="H986" s="1300"/>
      <c r="I986" s="1295"/>
      <c r="J986" s="829"/>
      <c r="K986" s="767"/>
    </row>
    <row r="987" spans="1:11" s="768" customFormat="1" hidden="1">
      <c r="B987" s="767"/>
      <c r="C987" s="767"/>
      <c r="D987" s="767"/>
      <c r="E987" s="767"/>
      <c r="F987" s="1295"/>
      <c r="G987" s="1295"/>
      <c r="H987" s="1300"/>
      <c r="I987" s="1295"/>
      <c r="J987" s="829"/>
      <c r="K987" s="767"/>
    </row>
    <row r="988" spans="1:11" s="768" customFormat="1" hidden="1">
      <c r="B988" s="767"/>
      <c r="C988" s="767"/>
      <c r="D988" s="767"/>
      <c r="E988" s="1403">
        <f>N10</f>
        <v>0</v>
      </c>
      <c r="F988" s="1403"/>
      <c r="G988" s="842">
        <f>N7</f>
        <v>0</v>
      </c>
      <c r="H988" s="1098"/>
      <c r="I988" s="1031"/>
      <c r="J988" s="829"/>
      <c r="K988" s="767"/>
    </row>
    <row r="989" spans="1:11" s="768" customFormat="1" hidden="1">
      <c r="B989" s="767"/>
      <c r="C989" s="767"/>
      <c r="D989" s="767"/>
      <c r="E989" s="767"/>
      <c r="F989" s="767"/>
      <c r="G989" s="767"/>
      <c r="H989" s="1098"/>
      <c r="I989" s="829"/>
      <c r="J989" s="829"/>
      <c r="K989" s="767"/>
    </row>
    <row r="990" spans="1:11" s="768" customFormat="1" hidden="1">
      <c r="B990" s="767"/>
      <c r="C990" s="767"/>
      <c r="D990" s="767"/>
      <c r="E990" s="767"/>
      <c r="F990" s="767"/>
      <c r="G990" s="767"/>
      <c r="H990" s="1098"/>
      <c r="I990" s="829"/>
      <c r="J990" s="829"/>
      <c r="K990" s="767"/>
    </row>
    <row r="991" spans="1:11" s="768" customFormat="1" hidden="1">
      <c r="B991" s="767"/>
      <c r="C991" s="767"/>
      <c r="D991" s="767"/>
      <c r="E991" s="767"/>
      <c r="F991" s="843" t="s">
        <v>66</v>
      </c>
      <c r="G991" s="1433" t="e">
        <f>J4 &amp; " / " &amp; J3</f>
        <v>#VALUE!</v>
      </c>
      <c r="H991" s="1433"/>
      <c r="I991" s="1433"/>
      <c r="J991" s="1433"/>
      <c r="K991" s="767"/>
    </row>
    <row r="992" spans="1:11" s="768" customFormat="1" hidden="1">
      <c r="A992" s="914"/>
      <c r="B992" s="968"/>
      <c r="C992" s="1301" t="s">
        <v>523</v>
      </c>
      <c r="D992" s="767"/>
      <c r="E992" s="1295"/>
      <c r="F992" s="1295"/>
      <c r="G992" s="1295"/>
      <c r="I992" s="767"/>
      <c r="J992" s="767"/>
      <c r="K992" s="767"/>
    </row>
    <row r="993" spans="1:18" s="768" customFormat="1" hidden="1">
      <c r="B993" s="767"/>
      <c r="C993" s="767"/>
      <c r="D993" s="767"/>
      <c r="E993" s="767"/>
      <c r="F993" s="767"/>
      <c r="G993" s="767"/>
      <c r="I993" s="767"/>
      <c r="J993" s="767"/>
      <c r="K993" s="767"/>
    </row>
    <row r="994" spans="1:18" s="768" customFormat="1" hidden="1">
      <c r="B994" s="767"/>
      <c r="C994" s="767"/>
      <c r="D994" s="767"/>
      <c r="E994" s="843" t="s">
        <v>524</v>
      </c>
      <c r="F994" s="829">
        <f>B7</f>
        <v>0</v>
      </c>
      <c r="G994" s="829"/>
      <c r="H994" s="1302"/>
      <c r="I994" s="829" t="str">
        <f>B8</f>
        <v xml:space="preserve"> </v>
      </c>
      <c r="J994" s="829"/>
      <c r="K994" s="767"/>
    </row>
    <row r="995" spans="1:18" s="768" customFormat="1" hidden="1">
      <c r="A995" s="1032" t="s">
        <v>525</v>
      </c>
      <c r="B995" s="767"/>
      <c r="C995" s="767"/>
      <c r="D995" s="767"/>
      <c r="E995" s="767"/>
      <c r="F995" s="767"/>
      <c r="G995" s="767"/>
      <c r="I995" s="767"/>
      <c r="J995" s="767"/>
      <c r="K995" s="767"/>
    </row>
    <row r="996" spans="1:18" s="768" customFormat="1" hidden="1">
      <c r="A996" s="1032" t="s">
        <v>526</v>
      </c>
      <c r="B996" s="767"/>
      <c r="C996" s="767"/>
      <c r="D996" s="767"/>
      <c r="E996" s="767"/>
      <c r="F996" s="767"/>
      <c r="G996" s="767"/>
      <c r="I996" s="767"/>
      <c r="J996" s="767"/>
      <c r="K996" s="767"/>
    </row>
    <row r="997" spans="1:18" s="768" customFormat="1" hidden="1">
      <c r="A997" s="768" t="s">
        <v>527</v>
      </c>
      <c r="B997" s="767"/>
      <c r="C997" s="767"/>
      <c r="D997" s="767"/>
      <c r="E997" s="767"/>
      <c r="F997" s="767"/>
      <c r="G997" s="767"/>
      <c r="I997" s="767"/>
      <c r="J997" s="767"/>
      <c r="K997" s="767"/>
    </row>
    <row r="998" spans="1:18" s="768" customFormat="1" ht="12" hidden="1" thickBot="1">
      <c r="A998" s="1188"/>
      <c r="B998" s="968"/>
      <c r="C998" s="767"/>
      <c r="D998" s="767"/>
      <c r="E998" s="767"/>
      <c r="F998" s="767"/>
      <c r="G998" s="767"/>
      <c r="I998" s="767"/>
      <c r="J998" s="767"/>
      <c r="K998" s="767"/>
    </row>
    <row r="999" spans="1:18" s="768" customFormat="1" hidden="1">
      <c r="A999" s="1303" t="s">
        <v>528</v>
      </c>
      <c r="B999" s="1304"/>
      <c r="C999" s="1304"/>
      <c r="D999" s="1304"/>
      <c r="E999" s="1304"/>
      <c r="F999" s="830">
        <f>J10</f>
        <v>0</v>
      </c>
      <c r="G999" s="1305"/>
      <c r="H999" s="1306"/>
      <c r="I999" s="830">
        <f>J11</f>
        <v>0</v>
      </c>
      <c r="J999" s="1305"/>
      <c r="K999" s="1307"/>
    </row>
    <row r="1000" spans="1:18" s="768" customFormat="1" hidden="1">
      <c r="A1000" s="1308" t="s">
        <v>529</v>
      </c>
      <c r="B1000" s="1309"/>
      <c r="C1000" s="1309"/>
      <c r="D1000" s="1309"/>
      <c r="E1000" s="1309"/>
      <c r="F1000" s="1310" t="s">
        <v>530</v>
      </c>
      <c r="G1000" s="1311"/>
      <c r="H1000" s="1312"/>
      <c r="I1000" s="1310" t="s">
        <v>531</v>
      </c>
      <c r="J1000" s="1311"/>
      <c r="K1000" s="1313"/>
    </row>
    <row r="1001" spans="1:18" s="768" customFormat="1" hidden="1">
      <c r="A1001" s="1308" t="s">
        <v>532</v>
      </c>
      <c r="B1001" s="1309"/>
      <c r="C1001" s="1309"/>
      <c r="D1001" s="1309"/>
      <c r="E1001" s="1309"/>
      <c r="F1001" s="831">
        <f>((G358+G359+G360++G658+G378+(G362+G363)*0.6+(G364+G365)*0.4)+(B368+B369+B370+B371+(B372+B373+B376+B377)*0.6)+(B374+B375)*0.4)/2</f>
        <v>0</v>
      </c>
      <c r="G1001" s="1314"/>
      <c r="H1001" s="1315"/>
      <c r="I1001" s="831">
        <f>(J953+J968)/2</f>
        <v>0</v>
      </c>
      <c r="J1001" s="1314"/>
      <c r="K1001" s="1316"/>
    </row>
    <row r="1002" spans="1:18" s="768" customFormat="1" ht="24" hidden="1" customHeight="1">
      <c r="A1002" s="1317" t="s">
        <v>533</v>
      </c>
      <c r="B1002" s="915"/>
      <c r="C1002" s="915"/>
      <c r="D1002" s="915"/>
      <c r="E1002" s="915"/>
      <c r="F1002" s="1085"/>
      <c r="G1002" s="915"/>
      <c r="H1002" s="914"/>
      <c r="I1002" s="1085"/>
      <c r="J1002" s="915"/>
      <c r="K1002" s="916"/>
    </row>
    <row r="1003" spans="1:18" s="768" customFormat="1" hidden="1">
      <c r="A1003" s="1318" t="s">
        <v>534</v>
      </c>
      <c r="B1003" s="915"/>
      <c r="C1003" s="915"/>
      <c r="D1003" s="915"/>
      <c r="E1003" s="915"/>
      <c r="F1003" s="832">
        <f>(B30+B28+B77+B78+B79+B80+B82+B83+B85+B86+B87+B54+(B25+B37+B38+B39+B40+B32+B33+B53)*0.1+B31*0.8+B26*0.9+(B36+B41)*0.3+B162*0.002)</f>
        <v>0</v>
      </c>
      <c r="G1003" s="1073"/>
      <c r="H1003" s="1319"/>
      <c r="I1003" s="832">
        <f>SUM(Valeurs!F173:'Valeurs'!F195)</f>
        <v>0</v>
      </c>
      <c r="J1003" s="1073"/>
      <c r="K1003" s="1074"/>
    </row>
    <row r="1004" spans="1:18" s="768" customFormat="1" ht="24.75" hidden="1" customHeight="1">
      <c r="A1004" s="1320" t="s">
        <v>535</v>
      </c>
      <c r="B1004" s="1309"/>
      <c r="C1004" s="1309"/>
      <c r="D1004" s="1309"/>
      <c r="E1004" s="1309"/>
      <c r="F1004" s="831">
        <f>B74+B75+B104+B105</f>
        <v>0</v>
      </c>
      <c r="G1004" s="1314"/>
      <c r="H1004" s="1315"/>
      <c r="I1004" s="831">
        <f>G74+G75+G104+G105</f>
        <v>0</v>
      </c>
      <c r="J1004" s="1314"/>
      <c r="K1004" s="1316"/>
    </row>
    <row r="1005" spans="1:18" ht="21" hidden="1" customHeight="1">
      <c r="A1005" s="742" t="s">
        <v>539</v>
      </c>
      <c r="B1005" s="27"/>
      <c r="C1005" s="27"/>
      <c r="D1005" s="27"/>
      <c r="E1005" s="27"/>
      <c r="F1005" s="701"/>
      <c r="G1005" s="27"/>
      <c r="H1005" s="562"/>
      <c r="I1005" s="701"/>
      <c r="J1005" s="27"/>
      <c r="K1005" s="563"/>
    </row>
    <row r="1006" spans="1:18" ht="23.25" hidden="1" customHeight="1" thickBot="1">
      <c r="A1006" s="534" t="s">
        <v>541</v>
      </c>
      <c r="B1006" s="27"/>
      <c r="C1006" s="27"/>
      <c r="D1006" s="27"/>
      <c r="E1006" s="27"/>
      <c r="F1006" s="832">
        <f>Q1008</f>
        <v>0</v>
      </c>
      <c r="G1006" s="713"/>
      <c r="H1006" s="737"/>
      <c r="I1006" s="728">
        <f>R1008</f>
        <v>0</v>
      </c>
      <c r="J1006" s="713"/>
      <c r="K1006" s="714"/>
    </row>
    <row r="1007" spans="1:18" ht="26.25" hidden="1" customHeight="1" thickBot="1">
      <c r="A1007" s="738" t="s">
        <v>543</v>
      </c>
      <c r="B1007" s="679"/>
      <c r="C1007" s="679"/>
      <c r="D1007" s="679"/>
      <c r="E1007" s="679"/>
      <c r="F1007" s="831">
        <f>Q1009</f>
        <v>0</v>
      </c>
      <c r="G1007" s="734"/>
      <c r="H1007" s="735"/>
      <c r="I1007" s="733">
        <f>R1009</f>
        <v>0</v>
      </c>
      <c r="J1007" s="734"/>
      <c r="K1007" s="736"/>
      <c r="O1007" s="629" t="s">
        <v>536</v>
      </c>
      <c r="P1007" s="739"/>
      <c r="Q1007" s="740" t="s">
        <v>537</v>
      </c>
      <c r="R1007" s="741" t="s">
        <v>538</v>
      </c>
    </row>
    <row r="1008" spans="1:18" ht="24.75" hidden="1" customHeight="1">
      <c r="A1008" s="742" t="s">
        <v>546</v>
      </c>
      <c r="B1008" s="27"/>
      <c r="C1008" s="27"/>
      <c r="D1008" s="27"/>
      <c r="E1008" s="27"/>
      <c r="F1008" s="701"/>
      <c r="G1008" s="27"/>
      <c r="H1008" s="562"/>
      <c r="I1008" s="701"/>
      <c r="J1008" s="27"/>
      <c r="K1008" s="563"/>
      <c r="O1008" s="743" t="s">
        <v>540</v>
      </c>
      <c r="P1008" s="744"/>
      <c r="Q1008" s="745">
        <f>SUM(S1011:S1029)</f>
        <v>0</v>
      </c>
      <c r="R1008" s="746">
        <f>SUM(T1011:T1029)</f>
        <v>0</v>
      </c>
    </row>
    <row r="1009" spans="1:20" ht="24" hidden="1" customHeight="1" thickBot="1">
      <c r="A1009" s="726"/>
      <c r="B1009" s="27"/>
      <c r="C1009" s="27"/>
      <c r="D1009" s="27"/>
      <c r="E1009" s="27"/>
      <c r="F1009" s="701"/>
      <c r="G1009" s="27"/>
      <c r="H1009" s="562"/>
      <c r="I1009" s="701"/>
      <c r="J1009" s="27"/>
      <c r="K1009" s="563"/>
      <c r="O1009" s="724" t="s">
        <v>542</v>
      </c>
      <c r="P1009" s="670"/>
      <c r="Q1009" s="725">
        <f>SUM(S1030:S1031)</f>
        <v>0</v>
      </c>
      <c r="R1009" s="747">
        <f>SUM(T1030:T1031)</f>
        <v>0</v>
      </c>
    </row>
    <row r="1010" spans="1:20" ht="30" hidden="1" customHeight="1">
      <c r="A1010" s="726"/>
      <c r="B1010" s="27"/>
      <c r="C1010" s="27"/>
      <c r="D1010" s="27"/>
      <c r="E1010" s="27"/>
      <c r="F1010" s="701"/>
      <c r="G1010" s="27"/>
      <c r="H1010" s="562"/>
      <c r="I1010" s="701"/>
      <c r="J1010" s="27"/>
      <c r="K1010" s="563"/>
      <c r="O1010" s="748" t="s">
        <v>319</v>
      </c>
      <c r="P1010" s="749" t="s">
        <v>544</v>
      </c>
      <c r="Q1010" s="732" t="s">
        <v>545</v>
      </c>
      <c r="R1010" s="750"/>
    </row>
    <row r="1011" spans="1:20" ht="12" hidden="1" thickBot="1">
      <c r="A1011" s="725"/>
      <c r="B1011" s="565"/>
      <c r="C1011" s="565"/>
      <c r="D1011" s="565"/>
      <c r="E1011" s="565"/>
      <c r="F1011" s="704"/>
      <c r="G1011" s="565"/>
      <c r="H1011" s="567"/>
      <c r="I1011" s="704"/>
      <c r="J1011" s="565"/>
      <c r="K1011" s="566"/>
      <c r="O1011" s="726" t="s">
        <v>547</v>
      </c>
      <c r="P1011" s="751">
        <v>18</v>
      </c>
      <c r="Q1011" s="562"/>
      <c r="R1011" s="752"/>
      <c r="S1011" s="515">
        <f>Q1011*P1011/100</f>
        <v>0</v>
      </c>
      <c r="T1011" s="515">
        <f>R1011*P1011/100</f>
        <v>0</v>
      </c>
    </row>
    <row r="1012" spans="1:20" hidden="1">
      <c r="O1012" s="726" t="s">
        <v>548</v>
      </c>
      <c r="P1012" s="751">
        <v>20</v>
      </c>
      <c r="Q1012" s="562"/>
      <c r="R1012" s="752"/>
      <c r="S1012" s="515">
        <f t="shared" ref="S1012:S1027" si="106">Q1012*P1012/100</f>
        <v>0</v>
      </c>
      <c r="T1012" s="515">
        <f t="shared" ref="T1012:T1027" si="107">R1012*P1012/100</f>
        <v>0</v>
      </c>
    </row>
    <row r="1013" spans="1:20" hidden="1">
      <c r="O1013" s="726" t="s">
        <v>549</v>
      </c>
      <c r="P1013" s="751">
        <v>16</v>
      </c>
      <c r="Q1013" s="562"/>
      <c r="R1013" s="752"/>
      <c r="S1013" s="515">
        <f t="shared" si="106"/>
        <v>0</v>
      </c>
      <c r="T1013" s="515">
        <f t="shared" si="107"/>
        <v>0</v>
      </c>
    </row>
    <row r="1014" spans="1:20" hidden="1">
      <c r="F1014" s="833" t="str">
        <f>B11</f>
        <v xml:space="preserve"> </v>
      </c>
      <c r="G1014" s="1429" t="s">
        <v>1083</v>
      </c>
      <c r="H1014" s="1429"/>
      <c r="I1014" s="1429"/>
      <c r="J1014" s="723"/>
      <c r="O1014" s="726" t="s">
        <v>550</v>
      </c>
      <c r="P1014" s="751">
        <v>20</v>
      </c>
      <c r="Q1014" s="562"/>
      <c r="R1014" s="752"/>
      <c r="S1014" s="515">
        <f t="shared" si="106"/>
        <v>0</v>
      </c>
      <c r="T1014" s="515">
        <f t="shared" si="107"/>
        <v>0</v>
      </c>
    </row>
    <row r="1015" spans="1:20" hidden="1">
      <c r="F1015" s="723"/>
      <c r="G1015" s="730"/>
      <c r="H1015" s="722"/>
      <c r="I1015" s="557"/>
      <c r="J1015" s="524"/>
      <c r="O1015" s="726" t="s">
        <v>551</v>
      </c>
      <c r="P1015" s="751">
        <v>40</v>
      </c>
      <c r="Q1015" s="562"/>
      <c r="R1015" s="752"/>
      <c r="S1015" s="515">
        <f t="shared" si="106"/>
        <v>0</v>
      </c>
      <c r="T1015" s="515">
        <f t="shared" si="107"/>
        <v>0</v>
      </c>
    </row>
    <row r="1016" spans="1:20" hidden="1">
      <c r="F1016" s="723"/>
      <c r="G1016" s="723"/>
      <c r="H1016" s="656"/>
      <c r="I1016" s="723"/>
      <c r="J1016" s="723"/>
      <c r="O1016" s="726" t="s">
        <v>552</v>
      </c>
      <c r="P1016" s="751">
        <v>23</v>
      </c>
      <c r="Q1016" s="562"/>
      <c r="R1016" s="752"/>
      <c r="S1016" s="515">
        <f t="shared" si="106"/>
        <v>0</v>
      </c>
      <c r="T1016" s="515">
        <f t="shared" si="107"/>
        <v>0</v>
      </c>
    </row>
    <row r="1017" spans="1:20" hidden="1">
      <c r="F1017" s="723"/>
      <c r="G1017" s="723"/>
      <c r="H1017" s="656"/>
      <c r="I1017" s="723"/>
      <c r="J1017" s="723"/>
      <c r="O1017" s="726" t="s">
        <v>553</v>
      </c>
      <c r="P1017" s="751">
        <v>26</v>
      </c>
      <c r="Q1017" s="562"/>
      <c r="R1017" s="752"/>
      <c r="S1017" s="515">
        <f t="shared" si="106"/>
        <v>0</v>
      </c>
      <c r="T1017" s="515">
        <f t="shared" si="107"/>
        <v>0</v>
      </c>
    </row>
    <row r="1018" spans="1:20" hidden="1">
      <c r="F1018" s="723"/>
      <c r="G1018" s="723"/>
      <c r="H1018" s="656"/>
      <c r="I1018" s="723"/>
      <c r="J1018" s="723"/>
      <c r="O1018" s="726" t="s">
        <v>554</v>
      </c>
      <c r="P1018" s="751">
        <v>12</v>
      </c>
      <c r="Q1018" s="562"/>
      <c r="R1018" s="752"/>
      <c r="S1018" s="515">
        <f t="shared" si="106"/>
        <v>0</v>
      </c>
      <c r="T1018" s="515">
        <f t="shared" si="107"/>
        <v>0</v>
      </c>
    </row>
    <row r="1019" spans="1:20" hidden="1">
      <c r="F1019" s="723"/>
      <c r="G1019" s="843">
        <f>B7</f>
        <v>0</v>
      </c>
      <c r="H1019" s="527" t="str">
        <f>B8</f>
        <v xml:space="preserve"> </v>
      </c>
      <c r="I1019" s="723"/>
      <c r="J1019" s="723"/>
      <c r="O1019" s="726" t="s">
        <v>555</v>
      </c>
      <c r="P1019" s="751">
        <v>83</v>
      </c>
      <c r="Q1019" s="562"/>
      <c r="R1019" s="752"/>
      <c r="S1019" s="515">
        <f t="shared" si="106"/>
        <v>0</v>
      </c>
      <c r="T1019" s="515">
        <f t="shared" si="107"/>
        <v>0</v>
      </c>
    </row>
    <row r="1020" spans="1:20" hidden="1">
      <c r="O1020" s="726" t="s">
        <v>556</v>
      </c>
      <c r="P1020" s="751">
        <v>81</v>
      </c>
      <c r="Q1020" s="562"/>
      <c r="R1020" s="752"/>
      <c r="S1020" s="515">
        <f t="shared" si="106"/>
        <v>0</v>
      </c>
      <c r="T1020" s="515">
        <f t="shared" si="107"/>
        <v>0</v>
      </c>
    </row>
    <row r="1021" spans="1:20" hidden="1">
      <c r="O1021" s="726" t="s">
        <v>557</v>
      </c>
      <c r="P1021" s="751">
        <v>90</v>
      </c>
      <c r="Q1021" s="562"/>
      <c r="R1021" s="752"/>
      <c r="S1021" s="515">
        <f t="shared" si="106"/>
        <v>0</v>
      </c>
      <c r="T1021" s="515">
        <f t="shared" si="107"/>
        <v>0</v>
      </c>
    </row>
    <row r="1022" spans="1:20" hidden="1">
      <c r="O1022" s="726" t="s">
        <v>558</v>
      </c>
      <c r="P1022" s="751">
        <v>22</v>
      </c>
      <c r="Q1022" s="562"/>
      <c r="R1022" s="752"/>
      <c r="S1022" s="515">
        <f t="shared" si="106"/>
        <v>0</v>
      </c>
      <c r="T1022" s="515">
        <f t="shared" si="107"/>
        <v>0</v>
      </c>
    </row>
    <row r="1023" spans="1:20" hidden="1">
      <c r="O1023" s="726" t="s">
        <v>559</v>
      </c>
      <c r="P1023" s="751">
        <v>12.5</v>
      </c>
      <c r="Q1023" s="562"/>
      <c r="R1023" s="752"/>
      <c r="S1023" s="515">
        <f t="shared" si="106"/>
        <v>0</v>
      </c>
      <c r="T1023" s="515">
        <f t="shared" si="107"/>
        <v>0</v>
      </c>
    </row>
    <row r="1024" spans="1:20" hidden="1">
      <c r="O1024" s="726" t="s">
        <v>560</v>
      </c>
      <c r="P1024" s="751">
        <v>15</v>
      </c>
      <c r="Q1024" s="562"/>
      <c r="R1024" s="752"/>
      <c r="S1024" s="515">
        <f t="shared" si="106"/>
        <v>0</v>
      </c>
      <c r="T1024" s="515">
        <f t="shared" si="107"/>
        <v>0</v>
      </c>
    </row>
    <row r="1025" spans="15:20" hidden="1">
      <c r="O1025" s="726" t="s">
        <v>561</v>
      </c>
      <c r="P1025" s="751">
        <v>11</v>
      </c>
      <c r="Q1025" s="562"/>
      <c r="R1025" s="752"/>
      <c r="S1025" s="515">
        <f t="shared" si="106"/>
        <v>0</v>
      </c>
      <c r="T1025" s="515">
        <f t="shared" si="107"/>
        <v>0</v>
      </c>
    </row>
    <row r="1026" spans="15:20" hidden="1">
      <c r="O1026" s="726" t="s">
        <v>562</v>
      </c>
      <c r="P1026" s="751">
        <v>20</v>
      </c>
      <c r="Q1026" s="562"/>
      <c r="R1026" s="752"/>
      <c r="S1026" s="515">
        <f t="shared" si="106"/>
        <v>0</v>
      </c>
      <c r="T1026" s="515">
        <f t="shared" si="107"/>
        <v>0</v>
      </c>
    </row>
    <row r="1027" spans="15:20" hidden="1">
      <c r="O1027" s="726" t="s">
        <v>563</v>
      </c>
      <c r="P1027" s="751">
        <v>87</v>
      </c>
      <c r="Q1027" s="562"/>
      <c r="R1027" s="752"/>
      <c r="S1027" s="515">
        <f t="shared" si="106"/>
        <v>0</v>
      </c>
      <c r="T1027" s="515">
        <f t="shared" si="107"/>
        <v>0</v>
      </c>
    </row>
    <row r="1028" spans="15:20" hidden="1">
      <c r="O1028" s="726" t="s">
        <v>564</v>
      </c>
      <c r="P1028" s="751">
        <v>85</v>
      </c>
      <c r="Q1028" s="562"/>
      <c r="R1028" s="752"/>
      <c r="S1028" s="515">
        <f>Q1028*P1028/100</f>
        <v>0</v>
      </c>
      <c r="T1028" s="515">
        <f>R1028*P1028/100</f>
        <v>0</v>
      </c>
    </row>
    <row r="1029" spans="15:20" hidden="1">
      <c r="O1029" s="726" t="s">
        <v>565</v>
      </c>
      <c r="P1029" s="751">
        <v>87</v>
      </c>
      <c r="Q1029" s="562"/>
      <c r="R1029" s="752"/>
      <c r="S1029" s="515">
        <f>Q1029*P1029/100</f>
        <v>0</v>
      </c>
      <c r="T1029" s="515">
        <f>R1029*P1029/100</f>
        <v>0</v>
      </c>
    </row>
    <row r="1030" spans="15:20">
      <c r="O1030" s="726" t="s">
        <v>566</v>
      </c>
      <c r="P1030" s="751">
        <v>91</v>
      </c>
      <c r="Q1030" s="562"/>
      <c r="R1030" s="752"/>
      <c r="S1030" s="515">
        <f>Q1030*P1030/100</f>
        <v>0</v>
      </c>
      <c r="T1030" s="515">
        <f>R1030*P1030/100</f>
        <v>0</v>
      </c>
    </row>
    <row r="1031" spans="15:20" ht="12" thickBot="1">
      <c r="O1031" s="725" t="s">
        <v>567</v>
      </c>
      <c r="P1031" s="753">
        <v>87</v>
      </c>
      <c r="Q1031" s="567"/>
      <c r="R1031" s="747"/>
      <c r="S1031" s="515">
        <f>Q1031*P1031/100</f>
        <v>0</v>
      </c>
      <c r="T1031" s="515">
        <f>R1031*P1031/100</f>
        <v>0</v>
      </c>
    </row>
  </sheetData>
  <customSheetViews>
    <customSheetView guid="{0E119D24-1648-11D6-96DB-00A024CFB246}" scale="75" showGridLines="0" zeroValues="0" showRuler="0">
      <pane ySplit="2" topLeftCell="A3" activePane="bottomLeft" state="frozen"/>
      <selection pane="bottomLeft" activeCell="A3" sqref="A3"/>
      <rowBreaks count="14" manualBreakCount="14">
        <brk id="63" max="65535" man="1"/>
        <brk id="124" max="65535" man="1"/>
        <brk id="184" max="65535" man="1"/>
        <brk id="253" max="65535" man="1"/>
        <brk id="301" max="65535" man="1"/>
        <brk id="364" max="65535" man="1"/>
        <brk id="431" max="65535" man="1"/>
        <brk id="490" max="65535" man="1"/>
        <brk id="538" max="65535" man="1"/>
        <brk id="593" max="65535" man="1"/>
        <brk id="651" max="65535" man="1"/>
        <brk id="721" max="65535" man="1"/>
        <brk id="766" max="65535" man="1"/>
        <brk id="796" max="65535" man="1"/>
      </rowBreaks>
      <pageMargins left="3.937007874015748E-2" right="7.874015748031496E-2" top="0.6692913385826772" bottom="0.51181102362204722" header="0.51181102362204722" footer="0.39370078740157483"/>
      <printOptions horizontalCentered="1"/>
      <pageSetup paperSize="9" scale="90" orientation="portrait" blackAndWhite="1" horizontalDpi="300" verticalDpi="300" r:id="rId1"/>
      <headerFooter alignWithMargins="0"/>
    </customSheetView>
    <customSheetView guid="{666CE5F8-0F01-4246-8501-D3EAFC05BD86}" scale="85" showGridLines="0" zeroValues="0" fitToPage="1" printArea="1" hiddenRows="1" hiddenColumns="1" showRuler="0" topLeftCell="A621">
      <selection activeCell="J638" activeCellId="7" sqref="D664:D684 D661 I661 I664:I684 E636 J636 E638:E652 J638:J652"/>
      <rowBreaks count="11" manualBreakCount="11">
        <brk id="64" max="16383" man="1"/>
        <brk id="126" max="16383" man="1"/>
        <brk id="186" max="16383" man="1"/>
        <brk id="255" max="16383" man="1"/>
        <brk id="303" max="16383" man="1"/>
        <brk id="370" max="16383" man="1"/>
        <brk id="437" max="16383" man="1"/>
        <brk id="496" max="16383" man="1"/>
        <brk id="544" max="16383" man="1"/>
        <brk id="600" max="16383" man="1"/>
        <brk id="685" max="16383" man="1"/>
      </rowBreaks>
      <pageMargins left="3.937007874015748E-2" right="7.874015748031496E-2" top="0.51181102362204722" bottom="0.37" header="0.51181102362204722" footer="0.17"/>
      <printOptions horizontalCentered="1"/>
      <pageSetup paperSize="9" scale="79" fitToHeight="0" orientation="portrait" horizontalDpi="300" verticalDpi="300" r:id="rId2"/>
      <headerFooter alignWithMargins="0">
        <oddFooter>Page &amp;P de &amp;N</oddFooter>
      </headerFooter>
    </customSheetView>
  </customSheetViews>
  <mergeCells count="59">
    <mergeCell ref="B926:D926"/>
    <mergeCell ref="G926:I926"/>
    <mergeCell ref="E935:H935"/>
    <mergeCell ref="B395:C395"/>
    <mergeCell ref="G395:H395"/>
    <mergeCell ref="G864:H864"/>
    <mergeCell ref="G434:H434"/>
    <mergeCell ref="G675:H675"/>
    <mergeCell ref="E902:F902"/>
    <mergeCell ref="E900:F900"/>
    <mergeCell ref="G1014:I1014"/>
    <mergeCell ref="G616:H616"/>
    <mergeCell ref="G723:H723"/>
    <mergeCell ref="G779:H779"/>
    <mergeCell ref="G972:H972"/>
    <mergeCell ref="G937:J937"/>
    <mergeCell ref="G991:J991"/>
    <mergeCell ref="G930:I930"/>
    <mergeCell ref="D1:E1"/>
    <mergeCell ref="F1:G1"/>
    <mergeCell ref="F2:G2"/>
    <mergeCell ref="D2:E2"/>
    <mergeCell ref="J12:K12"/>
    <mergeCell ref="G66:H66"/>
    <mergeCell ref="B4:H4"/>
    <mergeCell ref="G128:H128"/>
    <mergeCell ref="G187:H187"/>
    <mergeCell ref="G65:K65"/>
    <mergeCell ref="G127:K127"/>
    <mergeCell ref="B187:C187"/>
    <mergeCell ref="G381:H381"/>
    <mergeCell ref="G350:H350"/>
    <mergeCell ref="G188:K188"/>
    <mergeCell ref="G189:H189"/>
    <mergeCell ref="B347:C347"/>
    <mergeCell ref="B560:C560"/>
    <mergeCell ref="G560:H560"/>
    <mergeCell ref="J899:K899"/>
    <mergeCell ref="G778:K778"/>
    <mergeCell ref="G863:K863"/>
    <mergeCell ref="G433:K433"/>
    <mergeCell ref="G615:K615"/>
    <mergeCell ref="G722:K722"/>
    <mergeCell ref="E899:F899"/>
    <mergeCell ref="G549:H549"/>
    <mergeCell ref="G347:H347"/>
    <mergeCell ref="G348:K348"/>
    <mergeCell ref="G482:I482"/>
    <mergeCell ref="G349:K349"/>
    <mergeCell ref="G272:K272"/>
    <mergeCell ref="G273:H273"/>
    <mergeCell ref="E988:F988"/>
    <mergeCell ref="E984:F984"/>
    <mergeCell ref="G983:I983"/>
    <mergeCell ref="E931:F931"/>
    <mergeCell ref="G481:K481"/>
    <mergeCell ref="G548:K548"/>
    <mergeCell ref="E925:F925"/>
    <mergeCell ref="G674:K674"/>
  </mergeCells>
  <phoneticPr fontId="0" type="noConversion"/>
  <dataValidations count="5">
    <dataValidation type="list" allowBlank="1" showInputMessage="1" showErrorMessage="1" sqref="J12">
      <formula1>$T$11:$T$23</formula1>
    </dataValidation>
    <dataValidation type="date" operator="greaterThanOrEqual" allowBlank="1" showInputMessage="1" showErrorMessage="1" sqref="J10:J11 J6">
      <formula1>39083</formula1>
    </dataValidation>
    <dataValidation type="decimal" operator="greaterThanOrEqual" allowBlank="1" showInputMessage="1" showErrorMessage="1" sqref="G104:G105 B104:B105">
      <formula1>0</formula1>
    </dataValidation>
    <dataValidation type="date" operator="greaterThanOrEqual" allowBlank="1" showInputMessage="1" showErrorMessage="1" sqref="J7">
      <formula1>29221</formula1>
    </dataValidation>
    <dataValidation type="textLength" showInputMessage="1" showErrorMessage="1" sqref="B7">
      <formula1>1</formula1>
      <formula2>30</formula2>
    </dataValidation>
  </dataValidations>
  <printOptions horizontalCentered="1"/>
  <pageMargins left="3.937007874015748E-2" right="7.874015748031496E-2" top="0.51181102362204722" bottom="0.37" header="0.51181102362204722" footer="0.17"/>
  <pageSetup paperSize="9" scale="76" fitToHeight="0" orientation="portrait" blackAndWhite="1" horizontalDpi="300" verticalDpi="300" r:id="rId3"/>
  <headerFooter alignWithMargins="0">
    <oddFooter xml:space="preserve">&amp;L&amp;10AIDA - Budget - (Version 4 - 20071023)&amp;CPage &amp;P de &amp;N </oddFooter>
  </headerFooter>
  <rowBreaks count="13" manualBreakCount="13">
    <brk id="64" max="16383" man="1"/>
    <brk id="126" max="16383" man="1"/>
    <brk id="187" max="16383" man="1"/>
    <brk id="271" max="19" man="1"/>
    <brk id="348" max="16383" man="1"/>
    <brk id="432" max="16383" man="1"/>
    <brk id="480" max="16383" man="1"/>
    <brk id="547" max="16383" man="1"/>
    <brk id="614" max="16383" man="1"/>
    <brk id="673" max="16383" man="1"/>
    <brk id="721" max="16383" man="1"/>
    <brk id="777" max="16383" man="1"/>
    <brk id="8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J217"/>
  <sheetViews>
    <sheetView zoomScale="70" zoomScaleNormal="70" workbookViewId="0">
      <pane xSplit="1" ySplit="13" topLeftCell="G128" activePane="bottomRight" state="frozen"/>
      <selection pane="topRight" activeCell="B1" sqref="B1"/>
      <selection pane="bottomLeft" activeCell="A14" sqref="A14"/>
      <selection pane="bottomRight" activeCell="P133" sqref="P133"/>
    </sheetView>
  </sheetViews>
  <sheetFormatPr baseColWidth="10" defaultRowHeight="12.75"/>
  <cols>
    <col min="1" max="1" width="21.5546875" style="26" customWidth="1"/>
    <col min="2" max="15" width="11.5546875" style="26"/>
    <col min="16" max="16" width="13.77734375" style="26" bestFit="1" customWidth="1"/>
    <col min="17" max="16384" width="11.5546875" style="26"/>
  </cols>
  <sheetData>
    <row r="1" spans="1:244" ht="15.75" thickBot="1">
      <c r="B1" s="222" t="s">
        <v>499</v>
      </c>
      <c r="C1" s="505" t="e">
        <f>Budget!B926</f>
        <v>#DIV/0!</v>
      </c>
      <c r="D1" s="506" t="e">
        <f>Budget!G926</f>
        <v>#DIV/0!</v>
      </c>
      <c r="E1" s="222" t="s">
        <v>568</v>
      </c>
      <c r="F1" s="223">
        <f>Budget!B925</f>
        <v>0</v>
      </c>
      <c r="G1" s="224">
        <f>Budget!G925</f>
        <v>0</v>
      </c>
      <c r="J1" s="222" t="s">
        <v>499</v>
      </c>
      <c r="K1" s="505" t="e">
        <f>Budget!B926</f>
        <v>#DIV/0!</v>
      </c>
      <c r="L1" s="506" t="e">
        <f>Budget!G926</f>
        <v>#DIV/0!</v>
      </c>
      <c r="M1" s="222" t="s">
        <v>568</v>
      </c>
      <c r="N1" s="223">
        <f>Budget!B925</f>
        <v>0</v>
      </c>
      <c r="O1" s="224">
        <f>Budget!G925</f>
        <v>0</v>
      </c>
      <c r="S1" s="222" t="s">
        <v>499</v>
      </c>
      <c r="T1" s="505" t="e">
        <f>Budget!B926</f>
        <v>#DIV/0!</v>
      </c>
      <c r="U1" s="506" t="e">
        <f>Budget!G926</f>
        <v>#DIV/0!</v>
      </c>
      <c r="V1" s="222" t="s">
        <v>568</v>
      </c>
      <c r="W1" s="223">
        <f>Budget!B925</f>
        <v>0</v>
      </c>
      <c r="X1" s="224">
        <f>Budget!G925</f>
        <v>0</v>
      </c>
    </row>
    <row r="2" spans="1:244" ht="13.5" hidden="1" thickBot="1"/>
    <row r="3" spans="1:244" ht="13.5" hidden="1" thickBot="1">
      <c r="A3" s="225" t="s">
        <v>569</v>
      </c>
      <c r="B3" s="226"/>
      <c r="C3" s="227"/>
    </row>
    <row r="4" spans="1:244" ht="13.5" hidden="1" thickBot="1">
      <c r="A4" s="228" t="s">
        <v>258</v>
      </c>
      <c r="B4" s="229" t="s">
        <v>82</v>
      </c>
      <c r="C4" s="230" t="s">
        <v>83</v>
      </c>
    </row>
    <row r="5" spans="1:244" hidden="1">
      <c r="A5" s="231" t="s">
        <v>570</v>
      </c>
      <c r="B5" s="232">
        <f>1+ROUND((Budget!B442+Budget!B443)/35,0)</f>
        <v>1</v>
      </c>
      <c r="C5" s="233">
        <f>1+ROUND((Budget!G442+Budget!G443)/35,0)</f>
        <v>1</v>
      </c>
    </row>
    <row r="6" spans="1:244" hidden="1">
      <c r="A6" s="234" t="s">
        <v>571</v>
      </c>
      <c r="B6" s="87">
        <f>1000/40.3399</f>
        <v>24.789352477323941</v>
      </c>
      <c r="C6" s="235">
        <f>B6</f>
        <v>24.789352477323941</v>
      </c>
    </row>
    <row r="7" spans="1:244" hidden="1">
      <c r="A7" s="234" t="s">
        <v>572</v>
      </c>
      <c r="B7" s="87">
        <f>1+ROUND(Budget!B555/35,0)</f>
        <v>1</v>
      </c>
      <c r="C7" s="235">
        <f>1+ROUND(Budget!G555/35,0)</f>
        <v>1</v>
      </c>
    </row>
    <row r="8" spans="1:244" hidden="1">
      <c r="A8" s="234" t="s">
        <v>573</v>
      </c>
      <c r="B8" s="87">
        <f>1+ROUND(Budget!B588/35,0)</f>
        <v>1</v>
      </c>
      <c r="C8" s="235">
        <f>1+ROUND(Budget!G588/35,0)</f>
        <v>1</v>
      </c>
    </row>
    <row r="9" spans="1:244" ht="13.5" hidden="1" thickBot="1">
      <c r="A9" s="236" t="s">
        <v>574</v>
      </c>
      <c r="B9" s="237">
        <f>40000/40.3399+V49*6/40.3399</f>
        <v>991.57409909295757</v>
      </c>
      <c r="C9" s="238">
        <v>0</v>
      </c>
    </row>
    <row r="10" spans="1:244" ht="13.5" hidden="1" thickBot="1"/>
    <row r="11" spans="1:244" s="247" customFormat="1" ht="13.5" thickBot="1">
      <c r="A11" s="239"/>
      <c r="B11" s="240" t="s">
        <v>221</v>
      </c>
      <c r="C11" s="241"/>
      <c r="D11" s="242"/>
      <c r="E11" s="240" t="s">
        <v>222</v>
      </c>
      <c r="F11" s="243"/>
      <c r="G11" s="244"/>
      <c r="H11" s="240" t="s">
        <v>575</v>
      </c>
      <c r="I11" s="243"/>
      <c r="J11" s="244"/>
      <c r="K11" s="240" t="s">
        <v>576</v>
      </c>
      <c r="L11" s="243"/>
      <c r="M11" s="243"/>
      <c r="N11" s="243"/>
      <c r="O11" s="243"/>
      <c r="P11" s="244"/>
      <c r="Q11" s="245" t="s">
        <v>577</v>
      </c>
      <c r="R11" s="243"/>
      <c r="S11" s="244"/>
      <c r="T11" s="240" t="s">
        <v>578</v>
      </c>
      <c r="U11" s="243"/>
      <c r="V11" s="243"/>
      <c r="W11" s="244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46"/>
      <c r="DK11" s="246"/>
      <c r="DL11" s="246"/>
      <c r="DM11" s="246"/>
      <c r="DN11" s="246"/>
      <c r="DO11" s="246"/>
      <c r="DP11" s="246"/>
      <c r="DQ11" s="246"/>
      <c r="DR11" s="246"/>
      <c r="DS11" s="246"/>
      <c r="DT11" s="246"/>
      <c r="DU11" s="246"/>
      <c r="DV11" s="246"/>
      <c r="DW11" s="246"/>
      <c r="DX11" s="246"/>
      <c r="DY11" s="246"/>
      <c r="DZ11" s="246"/>
      <c r="EA11" s="246"/>
      <c r="EB11" s="246"/>
      <c r="EC11" s="246"/>
      <c r="ED11" s="246"/>
      <c r="EE11" s="246"/>
      <c r="EF11" s="246"/>
      <c r="EG11" s="246"/>
      <c r="EH11" s="246"/>
      <c r="EI11" s="246"/>
      <c r="EJ11" s="246"/>
      <c r="EK11" s="246"/>
      <c r="EL11" s="246"/>
      <c r="EM11" s="246"/>
      <c r="EN11" s="246"/>
      <c r="EO11" s="246"/>
      <c r="EP11" s="246"/>
      <c r="EQ11" s="246"/>
      <c r="ER11" s="246"/>
      <c r="ES11" s="246"/>
      <c r="ET11" s="246"/>
      <c r="EU11" s="246"/>
      <c r="EV11" s="246"/>
      <c r="EW11" s="246"/>
      <c r="EX11" s="246"/>
      <c r="EY11" s="246"/>
      <c r="EZ11" s="246"/>
      <c r="FA11" s="246"/>
      <c r="FB11" s="246"/>
      <c r="FC11" s="246"/>
      <c r="FD11" s="246"/>
      <c r="FE11" s="246"/>
      <c r="FF11" s="246"/>
      <c r="FG11" s="246"/>
      <c r="FH11" s="246"/>
      <c r="FI11" s="246"/>
      <c r="FJ11" s="246"/>
      <c r="FK11" s="246"/>
      <c r="FL11" s="246"/>
      <c r="FM11" s="246"/>
      <c r="FN11" s="246"/>
      <c r="FO11" s="246"/>
      <c r="FP11" s="246"/>
      <c r="FQ11" s="246"/>
      <c r="FR11" s="246"/>
      <c r="FS11" s="246"/>
      <c r="FT11" s="246"/>
      <c r="FU11" s="246"/>
      <c r="FV11" s="246"/>
      <c r="FW11" s="246"/>
      <c r="FX11" s="246"/>
      <c r="FY11" s="246"/>
      <c r="FZ11" s="246"/>
      <c r="GA11" s="246"/>
      <c r="GB11" s="246"/>
      <c r="GC11" s="246"/>
      <c r="GD11" s="246"/>
      <c r="GE11" s="246"/>
      <c r="GF11" s="246"/>
      <c r="GG11" s="246"/>
      <c r="GH11" s="246"/>
      <c r="GI11" s="246"/>
      <c r="GJ11" s="246"/>
      <c r="GK11" s="246"/>
      <c r="GL11" s="246"/>
      <c r="GM11" s="246"/>
      <c r="GN11" s="246"/>
      <c r="GO11" s="246"/>
      <c r="GP11" s="246"/>
      <c r="GQ11" s="246"/>
      <c r="GR11" s="246"/>
      <c r="GS11" s="246"/>
      <c r="GT11" s="246"/>
      <c r="GU11" s="246"/>
      <c r="GV11" s="246"/>
      <c r="GW11" s="246"/>
      <c r="GX11" s="246"/>
      <c r="GY11" s="246"/>
      <c r="GZ11" s="246"/>
      <c r="HA11" s="246"/>
      <c r="HB11" s="246"/>
      <c r="HC11" s="246"/>
      <c r="HD11" s="246"/>
      <c r="HE11" s="246"/>
      <c r="HF11" s="246"/>
      <c r="HG11" s="246"/>
      <c r="HH11" s="246"/>
      <c r="HI11" s="246"/>
      <c r="HJ11" s="246"/>
      <c r="HK11" s="246"/>
      <c r="HL11" s="246"/>
      <c r="HM11" s="246"/>
      <c r="HN11" s="246"/>
      <c r="HO11" s="246"/>
      <c r="HP11" s="246"/>
      <c r="HQ11" s="246"/>
      <c r="HR11" s="246"/>
      <c r="HS11" s="246"/>
      <c r="HT11" s="246"/>
      <c r="HU11" s="246"/>
      <c r="HV11" s="246"/>
      <c r="HW11" s="246"/>
      <c r="HX11" s="246"/>
      <c r="HY11" s="246"/>
      <c r="HZ11" s="246"/>
      <c r="IA11" s="246"/>
      <c r="IB11" s="246"/>
      <c r="IC11" s="246"/>
      <c r="ID11" s="246"/>
      <c r="IE11" s="246"/>
      <c r="IF11" s="246"/>
      <c r="IG11" s="246"/>
      <c r="IH11" s="246"/>
      <c r="II11" s="246"/>
      <c r="IJ11" s="246"/>
    </row>
    <row r="12" spans="1:244" s="247" customFormat="1">
      <c r="A12" s="248" t="s">
        <v>258</v>
      </c>
      <c r="B12" s="249"/>
      <c r="C12" s="250"/>
      <c r="D12" s="251"/>
      <c r="E12" s="249"/>
      <c r="F12" s="250"/>
      <c r="G12" s="251"/>
      <c r="H12" s="252"/>
      <c r="I12" s="253"/>
      <c r="J12" s="254"/>
      <c r="K12" s="252" t="s">
        <v>579</v>
      </c>
      <c r="L12" s="253" t="s">
        <v>460</v>
      </c>
      <c r="M12" s="253" t="s">
        <v>580</v>
      </c>
      <c r="N12" s="253" t="s">
        <v>255</v>
      </c>
      <c r="O12" s="253"/>
      <c r="P12" s="254"/>
      <c r="Q12" s="255"/>
      <c r="R12" s="256"/>
      <c r="S12" s="257"/>
      <c r="T12" s="258" t="s">
        <v>581</v>
      </c>
      <c r="U12" s="259"/>
      <c r="V12" s="259" t="s">
        <v>582</v>
      </c>
      <c r="W12" s="260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/>
      <c r="DN12" s="246"/>
      <c r="DO12" s="246"/>
      <c r="DP12" s="246"/>
      <c r="DQ12" s="246"/>
      <c r="DR12" s="246"/>
      <c r="DS12" s="246"/>
      <c r="DT12" s="246"/>
      <c r="DU12" s="246"/>
      <c r="DV12" s="246"/>
      <c r="DW12" s="246"/>
      <c r="DX12" s="246"/>
      <c r="DY12" s="246"/>
      <c r="DZ12" s="246"/>
      <c r="EA12" s="246"/>
      <c r="EB12" s="246"/>
      <c r="EC12" s="246"/>
      <c r="ED12" s="246"/>
      <c r="EE12" s="246"/>
      <c r="EF12" s="246"/>
      <c r="EG12" s="246"/>
      <c r="EH12" s="246"/>
      <c r="EI12" s="246"/>
      <c r="EJ12" s="246"/>
      <c r="EK12" s="246"/>
      <c r="EL12" s="246"/>
      <c r="EM12" s="246"/>
      <c r="EN12" s="246"/>
      <c r="EO12" s="246"/>
      <c r="EP12" s="246"/>
      <c r="EQ12" s="246"/>
      <c r="ER12" s="246"/>
      <c r="ES12" s="246"/>
      <c r="ET12" s="246"/>
      <c r="EU12" s="246"/>
      <c r="EV12" s="246"/>
      <c r="EW12" s="246"/>
      <c r="EX12" s="246"/>
      <c r="EY12" s="246"/>
      <c r="EZ12" s="246"/>
      <c r="FA12" s="246"/>
      <c r="FB12" s="246"/>
      <c r="FC12" s="246"/>
      <c r="FD12" s="246"/>
      <c r="FE12" s="246"/>
      <c r="FF12" s="246"/>
      <c r="FG12" s="246"/>
      <c r="FH12" s="246"/>
      <c r="FI12" s="246"/>
      <c r="FJ12" s="246"/>
      <c r="FK12" s="246"/>
      <c r="FL12" s="246"/>
      <c r="FM12" s="246"/>
      <c r="FN12" s="246"/>
      <c r="FO12" s="246"/>
      <c r="FP12" s="246"/>
      <c r="FQ12" s="246"/>
      <c r="FR12" s="246"/>
      <c r="FS12" s="246"/>
      <c r="FT12" s="246"/>
      <c r="FU12" s="246"/>
      <c r="FV12" s="246"/>
      <c r="FW12" s="246"/>
      <c r="FX12" s="246"/>
      <c r="FY12" s="246"/>
      <c r="FZ12" s="246"/>
      <c r="GA12" s="246"/>
      <c r="GB12" s="246"/>
      <c r="GC12" s="246"/>
      <c r="GD12" s="246"/>
      <c r="GE12" s="246"/>
      <c r="GF12" s="246"/>
      <c r="GG12" s="246"/>
      <c r="GH12" s="246"/>
      <c r="GI12" s="246"/>
      <c r="GJ12" s="246"/>
      <c r="GK12" s="246"/>
      <c r="GL12" s="246"/>
      <c r="GM12" s="246"/>
      <c r="GN12" s="246"/>
      <c r="GO12" s="246"/>
      <c r="GP12" s="246"/>
      <c r="GQ12" s="246"/>
      <c r="GR12" s="246"/>
      <c r="GS12" s="246"/>
      <c r="GT12" s="246"/>
      <c r="GU12" s="246"/>
      <c r="GV12" s="246"/>
      <c r="GW12" s="246"/>
      <c r="GX12" s="246"/>
      <c r="GY12" s="246"/>
      <c r="GZ12" s="246"/>
      <c r="HA12" s="246"/>
      <c r="HB12" s="246"/>
      <c r="HC12" s="246"/>
      <c r="HD12" s="246"/>
      <c r="HE12" s="246"/>
      <c r="HF12" s="246"/>
      <c r="HG12" s="246"/>
      <c r="HH12" s="246"/>
      <c r="HI12" s="246"/>
      <c r="HJ12" s="246"/>
      <c r="HK12" s="246"/>
      <c r="HL12" s="246"/>
      <c r="HM12" s="246"/>
      <c r="HN12" s="246"/>
      <c r="HO12" s="246"/>
      <c r="HP12" s="246"/>
      <c r="HQ12" s="246"/>
      <c r="HR12" s="246"/>
      <c r="HS12" s="246"/>
      <c r="HT12" s="246"/>
      <c r="HU12" s="246"/>
      <c r="HV12" s="246"/>
      <c r="HW12" s="246"/>
      <c r="HX12" s="246"/>
      <c r="HY12" s="246"/>
      <c r="HZ12" s="246"/>
      <c r="IA12" s="246"/>
      <c r="IB12" s="246"/>
      <c r="IC12" s="246"/>
      <c r="ID12" s="246"/>
      <c r="IE12" s="246"/>
      <c r="IF12" s="246"/>
      <c r="IG12" s="246"/>
      <c r="IH12" s="246"/>
      <c r="II12" s="246"/>
      <c r="IJ12" s="246"/>
    </row>
    <row r="13" spans="1:244" s="247" customFormat="1">
      <c r="A13" s="261"/>
      <c r="B13" s="262" t="s">
        <v>583</v>
      </c>
      <c r="C13" s="262" t="s">
        <v>584</v>
      </c>
      <c r="D13" s="263" t="s">
        <v>585</v>
      </c>
      <c r="E13" s="264" t="s">
        <v>583</v>
      </c>
      <c r="F13" s="262" t="s">
        <v>584</v>
      </c>
      <c r="G13" s="263" t="s">
        <v>585</v>
      </c>
      <c r="H13" s="264" t="s">
        <v>583</v>
      </c>
      <c r="I13" s="262" t="s">
        <v>584</v>
      </c>
      <c r="J13" s="263" t="s">
        <v>585</v>
      </c>
      <c r="K13" s="264" t="s">
        <v>586</v>
      </c>
      <c r="L13" s="262" t="s">
        <v>587</v>
      </c>
      <c r="M13" s="262" t="s">
        <v>588</v>
      </c>
      <c r="N13" s="262" t="s">
        <v>589</v>
      </c>
      <c r="O13" s="262" t="s">
        <v>82</v>
      </c>
      <c r="P13" s="263" t="s">
        <v>83</v>
      </c>
      <c r="Q13" s="264" t="s">
        <v>583</v>
      </c>
      <c r="R13" s="262" t="s">
        <v>584</v>
      </c>
      <c r="S13" s="263" t="s">
        <v>585</v>
      </c>
      <c r="T13" s="264" t="s">
        <v>82</v>
      </c>
      <c r="U13" s="262" t="s">
        <v>83</v>
      </c>
      <c r="V13" s="262" t="s">
        <v>82</v>
      </c>
      <c r="W13" s="263" t="s">
        <v>83</v>
      </c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6"/>
      <c r="DN13" s="246"/>
      <c r="DO13" s="246"/>
      <c r="DP13" s="246"/>
      <c r="DQ13" s="246"/>
      <c r="DR13" s="246"/>
      <c r="DS13" s="246"/>
      <c r="DT13" s="246"/>
      <c r="DU13" s="246"/>
      <c r="DV13" s="246"/>
      <c r="DW13" s="246"/>
      <c r="DX13" s="246"/>
      <c r="DY13" s="246"/>
      <c r="DZ13" s="246"/>
      <c r="EA13" s="246"/>
      <c r="EB13" s="246"/>
      <c r="EC13" s="246"/>
      <c r="ED13" s="246"/>
      <c r="EE13" s="246"/>
      <c r="EF13" s="246"/>
      <c r="EG13" s="246"/>
      <c r="EH13" s="246"/>
      <c r="EI13" s="246"/>
      <c r="EJ13" s="246"/>
      <c r="EK13" s="246"/>
      <c r="EL13" s="246"/>
      <c r="EM13" s="246"/>
      <c r="EN13" s="246"/>
      <c r="EO13" s="246"/>
      <c r="EP13" s="246"/>
      <c r="EQ13" s="246"/>
      <c r="ER13" s="246"/>
      <c r="ES13" s="246"/>
      <c r="ET13" s="246"/>
      <c r="EU13" s="246"/>
      <c r="EV13" s="246"/>
      <c r="EW13" s="246"/>
      <c r="EX13" s="246"/>
      <c r="EY13" s="246"/>
      <c r="EZ13" s="246"/>
      <c r="FA13" s="246"/>
      <c r="FB13" s="246"/>
      <c r="FC13" s="246"/>
      <c r="FD13" s="246"/>
      <c r="FE13" s="246"/>
      <c r="FF13" s="246"/>
      <c r="FG13" s="246"/>
      <c r="FH13" s="246"/>
      <c r="FI13" s="246"/>
      <c r="FJ13" s="246"/>
      <c r="FK13" s="246"/>
      <c r="FL13" s="246"/>
      <c r="FM13" s="246"/>
      <c r="FN13" s="246"/>
      <c r="FO13" s="246"/>
      <c r="FP13" s="246"/>
      <c r="FQ13" s="246"/>
      <c r="FR13" s="246"/>
      <c r="FS13" s="246"/>
      <c r="FT13" s="246"/>
      <c r="FU13" s="246"/>
      <c r="FV13" s="246"/>
      <c r="FW13" s="246"/>
      <c r="FX13" s="246"/>
      <c r="FY13" s="246"/>
      <c r="FZ13" s="246"/>
      <c r="GA13" s="246"/>
      <c r="GB13" s="246"/>
      <c r="GC13" s="246"/>
      <c r="GD13" s="246"/>
      <c r="GE13" s="246"/>
      <c r="GF13" s="246"/>
      <c r="GG13" s="246"/>
      <c r="GH13" s="246"/>
      <c r="GI13" s="246"/>
      <c r="GJ13" s="246"/>
      <c r="GK13" s="246"/>
      <c r="GL13" s="246"/>
      <c r="GM13" s="246"/>
      <c r="GN13" s="246"/>
      <c r="GO13" s="246"/>
      <c r="GP13" s="246"/>
      <c r="GQ13" s="246"/>
      <c r="GR13" s="246"/>
      <c r="GS13" s="246"/>
      <c r="GT13" s="246"/>
      <c r="GU13" s="246"/>
      <c r="GV13" s="246"/>
      <c r="GW13" s="246"/>
      <c r="GX13" s="246"/>
      <c r="GY13" s="246"/>
      <c r="GZ13" s="246"/>
      <c r="HA13" s="246"/>
      <c r="HB13" s="246"/>
      <c r="HC13" s="246"/>
      <c r="HD13" s="246"/>
      <c r="HE13" s="246"/>
      <c r="HF13" s="246"/>
      <c r="HG13" s="246"/>
      <c r="HH13" s="246"/>
      <c r="HI13" s="246"/>
      <c r="HJ13" s="246"/>
      <c r="HK13" s="246"/>
      <c r="HL13" s="246"/>
      <c r="HM13" s="246"/>
      <c r="HN13" s="246"/>
      <c r="HO13" s="246"/>
      <c r="HP13" s="246"/>
      <c r="HQ13" s="246"/>
      <c r="HR13" s="246"/>
      <c r="HS13" s="246"/>
      <c r="HT13" s="246"/>
      <c r="HU13" s="246"/>
      <c r="HV13" s="246"/>
      <c r="HW13" s="246"/>
      <c r="HX13" s="246"/>
      <c r="HY13" s="246"/>
      <c r="HZ13" s="246"/>
      <c r="IA13" s="246"/>
      <c r="IB13" s="246"/>
      <c r="IC13" s="246"/>
      <c r="ID13" s="246"/>
      <c r="IE13" s="246"/>
      <c r="IF13" s="246"/>
      <c r="IG13" s="246"/>
      <c r="IH13" s="246"/>
      <c r="II13" s="246"/>
      <c r="IJ13" s="246"/>
    </row>
    <row r="14" spans="1:244">
      <c r="A14" s="265" t="s">
        <v>92</v>
      </c>
      <c r="B14" s="266">
        <v>74.37</v>
      </c>
      <c r="C14" s="266">
        <f>Budget!B25*Valeurs!B14</f>
        <v>0</v>
      </c>
      <c r="D14" s="267">
        <f>Budget!G25*Valeurs!B14</f>
        <v>0</v>
      </c>
      <c r="E14" s="268">
        <v>86.76</v>
      </c>
      <c r="F14" s="266">
        <f>Budget!B25*Valeurs!E14</f>
        <v>0</v>
      </c>
      <c r="G14" s="267">
        <f>Budget!G25*Valeurs!E14</f>
        <v>0</v>
      </c>
      <c r="H14" s="268">
        <v>111.55</v>
      </c>
      <c r="I14" s="266">
        <f>Budget!B25*Valeurs!H14</f>
        <v>0</v>
      </c>
      <c r="J14" s="267">
        <f>Budget!G25*Valeurs!H14</f>
        <v>0</v>
      </c>
      <c r="K14" s="269"/>
      <c r="L14" s="270">
        <v>121.47</v>
      </c>
      <c r="M14" s="270">
        <v>74.37</v>
      </c>
      <c r="N14" s="266">
        <f>SUM(K14:M14)</f>
        <v>195.84</v>
      </c>
      <c r="O14" s="266">
        <f>Budget!B25*Valeurs!N14</f>
        <v>0</v>
      </c>
      <c r="P14" s="267">
        <f>Budget!G25*Valeurs!N14</f>
        <v>0</v>
      </c>
      <c r="Q14" s="268">
        <v>18.84</v>
      </c>
      <c r="R14" s="266">
        <f>Budget!B25*Valeurs!Q14</f>
        <v>0</v>
      </c>
      <c r="S14" s="267">
        <f>Budget!G25*Valeurs!Q14</f>
        <v>0</v>
      </c>
      <c r="T14" s="508">
        <f>20-N14/(1000/40.3399)</f>
        <v>12.099833984</v>
      </c>
      <c r="U14" s="509">
        <f t="shared" ref="U14:U28" si="0">T14</f>
        <v>12.099833984</v>
      </c>
      <c r="V14" s="59">
        <f>Budget!B25*Valeurs!T14</f>
        <v>0</v>
      </c>
      <c r="W14" s="271">
        <f>Budget!G25*Valeurs!U14</f>
        <v>0</v>
      </c>
    </row>
    <row r="15" spans="1:244">
      <c r="A15" s="265" t="s">
        <v>93</v>
      </c>
      <c r="B15" s="266">
        <v>64.45</v>
      </c>
      <c r="C15" s="266">
        <f>Budget!B26*Valeurs!B15</f>
        <v>0</v>
      </c>
      <c r="D15" s="267">
        <f>Budget!G26*Valeurs!B15</f>
        <v>0</v>
      </c>
      <c r="E15" s="268">
        <v>101.64</v>
      </c>
      <c r="F15" s="266">
        <f>Budget!B26*Valeurs!E15</f>
        <v>0</v>
      </c>
      <c r="G15" s="267">
        <f>Budget!G26*Valeurs!E15</f>
        <v>0</v>
      </c>
      <c r="H15" s="268">
        <v>106.59</v>
      </c>
      <c r="I15" s="266">
        <f>Budget!B26*Valeurs!H15</f>
        <v>0</v>
      </c>
      <c r="J15" s="267">
        <f>Budget!G26*Valeurs!H15</f>
        <v>0</v>
      </c>
      <c r="K15" s="269"/>
      <c r="L15" s="270">
        <v>121.47</v>
      </c>
      <c r="M15" s="270">
        <v>74.37</v>
      </c>
      <c r="N15" s="266">
        <f t="shared" ref="N15:N26" si="1">SUM(K15:M15)</f>
        <v>195.84</v>
      </c>
      <c r="O15" s="266">
        <f>Budget!B26*Valeurs!N15</f>
        <v>0</v>
      </c>
      <c r="P15" s="267">
        <f>Budget!G26*Valeurs!N15</f>
        <v>0</v>
      </c>
      <c r="Q15" s="268">
        <v>18.84</v>
      </c>
      <c r="R15" s="266">
        <f>Budget!B26*Valeurs!Q15</f>
        <v>0</v>
      </c>
      <c r="S15" s="267">
        <f>Budget!G26*Valeurs!Q15</f>
        <v>0</v>
      </c>
      <c r="T15" s="508">
        <f>20-N15/(1000/40.3399)</f>
        <v>12.099833984</v>
      </c>
      <c r="U15" s="509">
        <f t="shared" si="0"/>
        <v>12.099833984</v>
      </c>
      <c r="V15" s="59">
        <f>Budget!B26*Valeurs!T15</f>
        <v>0</v>
      </c>
      <c r="W15" s="271">
        <f>Budget!G26*Valeurs!U15</f>
        <v>0</v>
      </c>
    </row>
    <row r="16" spans="1:244">
      <c r="A16" s="265" t="s">
        <v>94</v>
      </c>
      <c r="B16" s="266">
        <v>86.76</v>
      </c>
      <c r="C16" s="266">
        <f>Budget!B27*Valeurs!B16</f>
        <v>0</v>
      </c>
      <c r="D16" s="267">
        <f>Budget!G27*Valeurs!B16</f>
        <v>0</v>
      </c>
      <c r="E16" s="268">
        <v>106.59</v>
      </c>
      <c r="F16" s="266">
        <f>Budget!B27*Valeurs!E16</f>
        <v>0</v>
      </c>
      <c r="G16" s="267">
        <f>Budget!G27*Valeurs!E16</f>
        <v>0</v>
      </c>
      <c r="H16" s="268">
        <v>74.37</v>
      </c>
      <c r="I16" s="266">
        <f>Budget!B27*Valeurs!H16</f>
        <v>0</v>
      </c>
      <c r="J16" s="267">
        <f>Budget!G27*Valeurs!H16</f>
        <v>0</v>
      </c>
      <c r="K16" s="269"/>
      <c r="L16" s="270">
        <v>121.47</v>
      </c>
      <c r="M16" s="270">
        <v>74.37</v>
      </c>
      <c r="N16" s="266">
        <f t="shared" si="1"/>
        <v>195.84</v>
      </c>
      <c r="O16" s="266">
        <f>Budget!B27*Valeurs!N16</f>
        <v>0</v>
      </c>
      <c r="P16" s="267">
        <f>Budget!G27*Valeurs!N16</f>
        <v>0</v>
      </c>
      <c r="Q16" s="268">
        <v>18.84</v>
      </c>
      <c r="R16" s="266">
        <f>Budget!B27*Valeurs!Q16</f>
        <v>0</v>
      </c>
      <c r="S16" s="267">
        <f>Budget!G27*Valeurs!Q16</f>
        <v>0</v>
      </c>
      <c r="T16" s="508">
        <f>20-N16/(1000/40.3399)</f>
        <v>12.099833984</v>
      </c>
      <c r="U16" s="509">
        <f t="shared" si="0"/>
        <v>12.099833984</v>
      </c>
      <c r="V16" s="59">
        <f>Budget!B27*Valeurs!T16</f>
        <v>0</v>
      </c>
      <c r="W16" s="271">
        <f>Budget!G27*Valeurs!U16</f>
        <v>0</v>
      </c>
    </row>
    <row r="17" spans="1:23">
      <c r="A17" s="265" t="s">
        <v>95</v>
      </c>
      <c r="B17" s="266">
        <v>94.2</v>
      </c>
      <c r="C17" s="266">
        <f>Budget!B28*Valeurs!B17</f>
        <v>0</v>
      </c>
      <c r="D17" s="267">
        <f>Budget!G28*Valeurs!B17</f>
        <v>0</v>
      </c>
      <c r="E17" s="268">
        <v>121.47</v>
      </c>
      <c r="F17" s="266">
        <f>Budget!B28*Valeurs!E17</f>
        <v>0</v>
      </c>
      <c r="G17" s="267">
        <f>Budget!G28*Valeurs!E17</f>
        <v>0</v>
      </c>
      <c r="H17" s="268">
        <v>136.34</v>
      </c>
      <c r="I17" s="266">
        <f>Budget!B28*Valeurs!H17</f>
        <v>0</v>
      </c>
      <c r="J17" s="267">
        <f>Budget!G28*Valeurs!H17</f>
        <v>0</v>
      </c>
      <c r="K17" s="269"/>
      <c r="L17" s="270">
        <v>121.47</v>
      </c>
      <c r="M17" s="270">
        <v>74.37</v>
      </c>
      <c r="N17" s="266">
        <f t="shared" si="1"/>
        <v>195.84</v>
      </c>
      <c r="O17" s="266">
        <f>Budget!B28*Valeurs!N17</f>
        <v>0</v>
      </c>
      <c r="P17" s="267">
        <f>Budget!G28*Valeurs!N17</f>
        <v>0</v>
      </c>
      <c r="Q17" s="268">
        <v>18.84</v>
      </c>
      <c r="R17" s="266">
        <f>Budget!B28*Valeurs!Q17</f>
        <v>0</v>
      </c>
      <c r="S17" s="267">
        <f>Budget!G28*Valeurs!Q17</f>
        <v>0</v>
      </c>
      <c r="T17" s="508">
        <f>20-N17/(1000/40.3399)</f>
        <v>12.099833984</v>
      </c>
      <c r="U17" s="509">
        <f t="shared" si="0"/>
        <v>12.099833984</v>
      </c>
      <c r="V17" s="59">
        <f>Budget!B28*Valeurs!T17</f>
        <v>0</v>
      </c>
      <c r="W17" s="271">
        <f>Budget!G28*Valeurs!U17</f>
        <v>0</v>
      </c>
    </row>
    <row r="18" spans="1:23">
      <c r="A18" s="265" t="s">
        <v>96</v>
      </c>
      <c r="B18" s="266">
        <v>193.36</v>
      </c>
      <c r="C18" s="266">
        <f>Budget!B29*Valeurs!B18</f>
        <v>0</v>
      </c>
      <c r="D18" s="267">
        <f>Budget!G29*Valeurs!B18</f>
        <v>0</v>
      </c>
      <c r="E18" s="268">
        <v>235.5</v>
      </c>
      <c r="F18" s="266">
        <f>Budget!B29*Valeurs!E18</f>
        <v>0</v>
      </c>
      <c r="G18" s="267">
        <f>Budget!G29*Valeurs!E18</f>
        <v>0</v>
      </c>
      <c r="H18" s="268">
        <v>49.58</v>
      </c>
      <c r="I18" s="266">
        <f>Budget!B29*Valeurs!H18</f>
        <v>0</v>
      </c>
      <c r="J18" s="267">
        <f>Budget!G29*Valeurs!H18</f>
        <v>0</v>
      </c>
      <c r="K18" s="269">
        <v>61.97</v>
      </c>
      <c r="L18" s="270">
        <v>426.38</v>
      </c>
      <c r="M18" s="270"/>
      <c r="N18" s="266">
        <f t="shared" si="1"/>
        <v>488.35</v>
      </c>
      <c r="O18" s="266">
        <f>Budget!B29*Valeurs!N18</f>
        <v>0</v>
      </c>
      <c r="P18" s="267">
        <f>Budget!G29*Valeurs!N18</f>
        <v>0</v>
      </c>
      <c r="Q18" s="268">
        <v>20.329999999999998</v>
      </c>
      <c r="R18" s="266">
        <f>Budget!B29*Valeurs!Q18</f>
        <v>0</v>
      </c>
      <c r="S18" s="267">
        <f>Budget!G29*Valeurs!Q18</f>
        <v>0</v>
      </c>
      <c r="T18" s="508">
        <f>30-N18/(1000/40.3399)</f>
        <v>10.300009835000001</v>
      </c>
      <c r="U18" s="509">
        <f t="shared" si="0"/>
        <v>10.300009835000001</v>
      </c>
      <c r="V18" s="59">
        <f>Budget!B29*Valeurs!T18</f>
        <v>0</v>
      </c>
      <c r="W18" s="271">
        <f>Budget!G29*Valeurs!U18</f>
        <v>0</v>
      </c>
    </row>
    <row r="19" spans="1:23">
      <c r="A19" s="265" t="s">
        <v>97</v>
      </c>
      <c r="B19" s="266">
        <v>89.24</v>
      </c>
      <c r="C19" s="266">
        <f>Budget!B30*Valeurs!B19</f>
        <v>0</v>
      </c>
      <c r="D19" s="267">
        <f>Budget!G30*Valeurs!B19</f>
        <v>0</v>
      </c>
      <c r="E19" s="268">
        <v>116.51</v>
      </c>
      <c r="F19" s="266">
        <f>Budget!B30*Valeurs!E19</f>
        <v>0</v>
      </c>
      <c r="G19" s="267">
        <f>Budget!G30*Valeurs!E19</f>
        <v>0</v>
      </c>
      <c r="H19" s="268">
        <v>86.76</v>
      </c>
      <c r="I19" s="266">
        <f>Budget!B30*Valeurs!H19</f>
        <v>0</v>
      </c>
      <c r="J19" s="267">
        <f>Budget!G30*Valeurs!H19</f>
        <v>0</v>
      </c>
      <c r="K19" s="269"/>
      <c r="L19" s="270">
        <v>121.47</v>
      </c>
      <c r="M19" s="270">
        <v>74.37</v>
      </c>
      <c r="N19" s="266">
        <f t="shared" si="1"/>
        <v>195.84</v>
      </c>
      <c r="O19" s="266">
        <f>Budget!B30*Valeurs!N19</f>
        <v>0</v>
      </c>
      <c r="P19" s="267">
        <f>Budget!G30*Valeurs!N19</f>
        <v>0</v>
      </c>
      <c r="Q19" s="268">
        <v>18.84</v>
      </c>
      <c r="R19" s="266">
        <f>Budget!B30*Valeurs!Q19</f>
        <v>0</v>
      </c>
      <c r="S19" s="267">
        <f>Budget!G30*Valeurs!Q19</f>
        <v>0</v>
      </c>
      <c r="T19" s="508">
        <f>20-N19/(1000/40.3399)</f>
        <v>12.099833984</v>
      </c>
      <c r="U19" s="509">
        <f t="shared" si="0"/>
        <v>12.099833984</v>
      </c>
      <c r="V19" s="59">
        <f>Budget!B30*Valeurs!T19</f>
        <v>0</v>
      </c>
      <c r="W19" s="271">
        <f>Budget!G30*Valeurs!U19</f>
        <v>0</v>
      </c>
    </row>
    <row r="20" spans="1:23">
      <c r="A20" s="265" t="s">
        <v>98</v>
      </c>
      <c r="B20" s="266">
        <v>86.76</v>
      </c>
      <c r="C20" s="266">
        <f>Budget!B31*Valeurs!B20</f>
        <v>0</v>
      </c>
      <c r="D20" s="267">
        <f>Budget!G31*Valeurs!B20</f>
        <v>0</v>
      </c>
      <c r="E20" s="268">
        <v>118.99</v>
      </c>
      <c r="F20" s="266">
        <f>Budget!B31*Valeurs!E20</f>
        <v>0</v>
      </c>
      <c r="G20" s="267">
        <f>Budget!G31*Valeurs!E20</f>
        <v>0</v>
      </c>
      <c r="H20" s="268">
        <v>99.16</v>
      </c>
      <c r="I20" s="266">
        <f>Budget!B31*Valeurs!H20</f>
        <v>0</v>
      </c>
      <c r="J20" s="267">
        <f>Budget!G31*Valeurs!H20</f>
        <v>0</v>
      </c>
      <c r="K20" s="269"/>
      <c r="L20" s="270">
        <v>121.47</v>
      </c>
      <c r="M20" s="270">
        <v>74.37</v>
      </c>
      <c r="N20" s="266">
        <f t="shared" si="1"/>
        <v>195.84</v>
      </c>
      <c r="O20" s="266">
        <f>Budget!B31*Valeurs!N20</f>
        <v>0</v>
      </c>
      <c r="P20" s="267">
        <f>Budget!G31*Valeurs!N20</f>
        <v>0</v>
      </c>
      <c r="Q20" s="268">
        <v>18.84</v>
      </c>
      <c r="R20" s="266">
        <f>Budget!B31*Valeurs!Q20</f>
        <v>0</v>
      </c>
      <c r="S20" s="267">
        <f>Budget!G31*Valeurs!Q20</f>
        <v>0</v>
      </c>
      <c r="T20" s="508">
        <f>20-N20/(1000/40.3399)</f>
        <v>12.099833984</v>
      </c>
      <c r="U20" s="509">
        <f t="shared" si="0"/>
        <v>12.099833984</v>
      </c>
      <c r="V20" s="59">
        <f>Budget!B31*Valeurs!T20</f>
        <v>0</v>
      </c>
      <c r="W20" s="271">
        <f>Budget!G31*Valeurs!U20</f>
        <v>0</v>
      </c>
    </row>
    <row r="21" spans="1:23">
      <c r="A21" s="265" t="s">
        <v>102</v>
      </c>
      <c r="B21" s="266">
        <v>194.6</v>
      </c>
      <c r="C21" s="266">
        <f>Budget!B36*Valeurs!B21</f>
        <v>0</v>
      </c>
      <c r="D21" s="267">
        <f>Budget!G36*Valeurs!B21</f>
        <v>0</v>
      </c>
      <c r="E21" s="268">
        <v>205.75</v>
      </c>
      <c r="F21" s="266">
        <f>Budget!B36*Valeurs!E21</f>
        <v>0</v>
      </c>
      <c r="G21" s="267">
        <f>Budget!G36*Valeurs!E21</f>
        <v>0</v>
      </c>
      <c r="H21" s="268">
        <v>203.27</v>
      </c>
      <c r="I21" s="266">
        <f>Budget!B36*Valeurs!H21</f>
        <v>0</v>
      </c>
      <c r="J21" s="267">
        <f>Budget!G36*Valeurs!H21</f>
        <v>0</v>
      </c>
      <c r="K21" s="269">
        <v>54.54</v>
      </c>
      <c r="L21" s="270">
        <v>233.02</v>
      </c>
      <c r="M21" s="270"/>
      <c r="N21" s="266">
        <f t="shared" si="1"/>
        <v>287.56</v>
      </c>
      <c r="O21" s="266">
        <f>Budget!B36*Valeurs!N21</f>
        <v>0</v>
      </c>
      <c r="P21" s="267">
        <f>Budget!G36*Valeurs!N21</f>
        <v>0</v>
      </c>
      <c r="Q21" s="268">
        <v>38.42</v>
      </c>
      <c r="R21" s="266">
        <f>Budget!B36*Valeurs!Q21</f>
        <v>0</v>
      </c>
      <c r="S21" s="267">
        <f>Budget!G36*Valeurs!Q21</f>
        <v>0</v>
      </c>
      <c r="T21" s="508">
        <f>40-N21/(1000/40.3399)</f>
        <v>28.399858356000003</v>
      </c>
      <c r="U21" s="509">
        <f t="shared" si="0"/>
        <v>28.399858356000003</v>
      </c>
      <c r="V21" s="59">
        <f>Budget!B36*Valeurs!T21</f>
        <v>0</v>
      </c>
      <c r="W21" s="271">
        <f>Budget!G36*Valeurs!U21</f>
        <v>0</v>
      </c>
    </row>
    <row r="22" spans="1:23">
      <c r="A22" s="265" t="s">
        <v>103</v>
      </c>
      <c r="B22" s="266">
        <v>619.73</v>
      </c>
      <c r="C22" s="266">
        <f>Budget!B37*Valeurs!B22</f>
        <v>0</v>
      </c>
      <c r="D22" s="267">
        <f>Budget!G37*Valeurs!B22</f>
        <v>0</v>
      </c>
      <c r="E22" s="268">
        <v>223.1</v>
      </c>
      <c r="F22" s="266">
        <f>Budget!B37*Valeurs!E22</f>
        <v>0</v>
      </c>
      <c r="G22" s="267">
        <f>Budget!G37*Valeurs!E22</f>
        <v>0</v>
      </c>
      <c r="H22" s="268">
        <v>223.1</v>
      </c>
      <c r="I22" s="266">
        <f>Budget!B37*Valeurs!H22</f>
        <v>0</v>
      </c>
      <c r="J22" s="267">
        <f>Budget!G37*Valeurs!H22</f>
        <v>0</v>
      </c>
      <c r="K22" s="269">
        <v>99.16</v>
      </c>
      <c r="L22" s="270">
        <v>247.89</v>
      </c>
      <c r="M22" s="270"/>
      <c r="N22" s="266">
        <f t="shared" si="1"/>
        <v>347.04999999999995</v>
      </c>
      <c r="O22" s="266">
        <f>Budget!B37*Valeurs!N22</f>
        <v>0</v>
      </c>
      <c r="P22" s="267">
        <f>Budget!G37*Valeurs!N22</f>
        <v>0</v>
      </c>
      <c r="Q22" s="268">
        <v>41.89</v>
      </c>
      <c r="R22" s="266">
        <f>Budget!B37*Valeurs!Q22</f>
        <v>0</v>
      </c>
      <c r="S22" s="267">
        <f>Budget!G37*Valeurs!Q22</f>
        <v>0</v>
      </c>
      <c r="T22" s="508">
        <f>45-N22/(1000/40.3399)</f>
        <v>31.000037705000004</v>
      </c>
      <c r="U22" s="509">
        <f t="shared" si="0"/>
        <v>31.000037705000004</v>
      </c>
      <c r="V22" s="59">
        <f>Budget!B37*Valeurs!T22</f>
        <v>0</v>
      </c>
      <c r="W22" s="271">
        <f>Budget!G37*Valeurs!U22</f>
        <v>0</v>
      </c>
    </row>
    <row r="23" spans="1:23">
      <c r="A23" s="265" t="s">
        <v>104</v>
      </c>
      <c r="B23" s="266">
        <v>446.21</v>
      </c>
      <c r="C23" s="266">
        <f>Budget!B38*Valeurs!B23</f>
        <v>0</v>
      </c>
      <c r="D23" s="267">
        <f>Budget!G38*Valeurs!B23</f>
        <v>0</v>
      </c>
      <c r="E23" s="268">
        <v>260.29000000000002</v>
      </c>
      <c r="F23" s="266">
        <f>Budget!B38*Valeurs!E23</f>
        <v>0</v>
      </c>
      <c r="G23" s="267">
        <f>Budget!G38*Valeurs!E23</f>
        <v>0</v>
      </c>
      <c r="H23" s="268">
        <v>334.66</v>
      </c>
      <c r="I23" s="266">
        <f>Budget!B38*Valeurs!H23</f>
        <v>0</v>
      </c>
      <c r="J23" s="267">
        <f>Budget!G38*Valeurs!H23</f>
        <v>0</v>
      </c>
      <c r="K23" s="269">
        <v>99.16</v>
      </c>
      <c r="L23" s="270">
        <v>247.89</v>
      </c>
      <c r="M23" s="270"/>
      <c r="N23" s="266">
        <f t="shared" si="1"/>
        <v>347.04999999999995</v>
      </c>
      <c r="O23" s="266">
        <f>Budget!B38*Valeurs!N23</f>
        <v>0</v>
      </c>
      <c r="P23" s="267">
        <f>Budget!G38*Valeurs!N23</f>
        <v>0</v>
      </c>
      <c r="Q23" s="268">
        <v>41.89</v>
      </c>
      <c r="R23" s="266">
        <f>Budget!B38*Valeurs!Q23</f>
        <v>0</v>
      </c>
      <c r="S23" s="267">
        <f>Budget!G38*Valeurs!Q23</f>
        <v>0</v>
      </c>
      <c r="T23" s="508">
        <f>50-N23/(1000/40.3399)</f>
        <v>36.000037705000004</v>
      </c>
      <c r="U23" s="509">
        <f t="shared" si="0"/>
        <v>36.000037705000004</v>
      </c>
      <c r="V23" s="59">
        <f>Budget!B38*Valeurs!T23</f>
        <v>0</v>
      </c>
      <c r="W23" s="271">
        <f>Budget!G38*Valeurs!U23</f>
        <v>0</v>
      </c>
    </row>
    <row r="24" spans="1:23">
      <c r="A24" s="265" t="s">
        <v>105</v>
      </c>
      <c r="B24" s="266">
        <v>495.79</v>
      </c>
      <c r="C24" s="266">
        <f>Budget!B39*Valeurs!B24</f>
        <v>0</v>
      </c>
      <c r="D24" s="267">
        <f>Budget!G39*Valeurs!B24</f>
        <v>0</v>
      </c>
      <c r="E24" s="268">
        <v>260.29000000000002</v>
      </c>
      <c r="F24" s="266">
        <f>Budget!B39*Valeurs!E24</f>
        <v>0</v>
      </c>
      <c r="G24" s="267">
        <f>Budget!G39*Valeurs!E24</f>
        <v>0</v>
      </c>
      <c r="H24" s="268">
        <v>260.29000000000002</v>
      </c>
      <c r="I24" s="266">
        <f>Budget!B39*Valeurs!H24</f>
        <v>0</v>
      </c>
      <c r="J24" s="267">
        <f>Budget!G39*Valeurs!H24</f>
        <v>0</v>
      </c>
      <c r="K24" s="269">
        <v>99.16</v>
      </c>
      <c r="L24" s="270">
        <v>247.89</v>
      </c>
      <c r="M24" s="270"/>
      <c r="N24" s="266">
        <f t="shared" si="1"/>
        <v>347.04999999999995</v>
      </c>
      <c r="O24" s="266">
        <f>Budget!B39*Valeurs!N24</f>
        <v>0</v>
      </c>
      <c r="P24" s="267">
        <f>Budget!G39*Valeurs!N24</f>
        <v>0</v>
      </c>
      <c r="Q24" s="268">
        <v>41.89</v>
      </c>
      <c r="R24" s="266">
        <f>Budget!B39*Valeurs!Q24</f>
        <v>0</v>
      </c>
      <c r="S24" s="267">
        <f>Budget!G39*Valeurs!Q24</f>
        <v>0</v>
      </c>
      <c r="T24" s="508">
        <f>50-N24/(1000/40.3399)</f>
        <v>36.000037705000004</v>
      </c>
      <c r="U24" s="509">
        <f t="shared" si="0"/>
        <v>36.000037705000004</v>
      </c>
      <c r="V24" s="59">
        <f>Budget!B39*Valeurs!T24</f>
        <v>0</v>
      </c>
      <c r="W24" s="271">
        <f>Budget!G39*Valeurs!U24</f>
        <v>0</v>
      </c>
    </row>
    <row r="25" spans="1:23">
      <c r="A25" s="265" t="s">
        <v>106</v>
      </c>
      <c r="B25" s="266">
        <v>743.68</v>
      </c>
      <c r="C25" s="266">
        <f>Budget!B40*Valeurs!B25</f>
        <v>0</v>
      </c>
      <c r="D25" s="267">
        <f>Budget!G40*Valeurs!B25</f>
        <v>0</v>
      </c>
      <c r="E25" s="268">
        <v>223.1</v>
      </c>
      <c r="F25" s="266">
        <f>Budget!B40*Valeurs!E25</f>
        <v>0</v>
      </c>
      <c r="G25" s="267">
        <f>Budget!G40*Valeurs!E25</f>
        <v>0</v>
      </c>
      <c r="H25" s="268">
        <v>247.89</v>
      </c>
      <c r="I25" s="266">
        <f>Budget!B40*Valeurs!H25</f>
        <v>0</v>
      </c>
      <c r="J25" s="267">
        <f>Budget!G40*Valeurs!H25</f>
        <v>0</v>
      </c>
      <c r="K25" s="269">
        <v>99.16</v>
      </c>
      <c r="L25" s="270">
        <v>247.89</v>
      </c>
      <c r="M25" s="270"/>
      <c r="N25" s="266"/>
      <c r="O25" s="266">
        <f>Budget!B40*Valeurs!N25</f>
        <v>0</v>
      </c>
      <c r="P25" s="267">
        <f>Budget!G40*Valeurs!N25</f>
        <v>0</v>
      </c>
      <c r="Q25" s="268">
        <v>41.89</v>
      </c>
      <c r="R25" s="266">
        <f>Budget!B40*Valeurs!Q25</f>
        <v>0</v>
      </c>
      <c r="S25" s="267">
        <f>Budget!G40*Valeurs!Q25</f>
        <v>0</v>
      </c>
      <c r="T25" s="508">
        <f>50-N25/(1000/40.3399)</f>
        <v>50</v>
      </c>
      <c r="U25" s="509">
        <f t="shared" si="0"/>
        <v>50</v>
      </c>
      <c r="V25" s="59">
        <f>Budget!B40*Valeurs!T25</f>
        <v>0</v>
      </c>
      <c r="W25" s="271">
        <f>Budget!G40*Valeurs!U25</f>
        <v>0</v>
      </c>
    </row>
    <row r="26" spans="1:23">
      <c r="A26" s="265" t="s">
        <v>107</v>
      </c>
      <c r="B26" s="266"/>
      <c r="C26" s="266">
        <f>Budget!B41*Valeurs!B26</f>
        <v>0</v>
      </c>
      <c r="D26" s="267">
        <f>Budget!G41*Valeurs!B26</f>
        <v>0</v>
      </c>
      <c r="E26" s="268">
        <v>123.95</v>
      </c>
      <c r="F26" s="266">
        <f>Budget!B41*Valeurs!E26</f>
        <v>0</v>
      </c>
      <c r="G26" s="267">
        <f>Budget!G41*Valeurs!E26</f>
        <v>0</v>
      </c>
      <c r="H26" s="268">
        <v>247.89</v>
      </c>
      <c r="I26" s="266">
        <f>Budget!B41*Valeurs!H26</f>
        <v>0</v>
      </c>
      <c r="J26" s="267">
        <f>Budget!G41*Valeurs!H26</f>
        <v>0</v>
      </c>
      <c r="K26" s="269">
        <v>69.41</v>
      </c>
      <c r="L26" s="270">
        <v>235.5</v>
      </c>
      <c r="M26" s="270"/>
      <c r="N26" s="266">
        <f t="shared" si="1"/>
        <v>304.90999999999997</v>
      </c>
      <c r="O26" s="266">
        <f>Budget!B41*Valeurs!N26</f>
        <v>0</v>
      </c>
      <c r="P26" s="267">
        <f>Budget!G41*Valeurs!N26</f>
        <v>0</v>
      </c>
      <c r="Q26" s="268">
        <v>33.71</v>
      </c>
      <c r="R26" s="266">
        <f>Budget!B41*Valeurs!Q26</f>
        <v>0</v>
      </c>
      <c r="S26" s="267">
        <f>Budget!G41*Valeurs!Q26</f>
        <v>0</v>
      </c>
      <c r="T26" s="508">
        <f>40-N26/(1000/40.3399)</f>
        <v>27.699961091000002</v>
      </c>
      <c r="U26" s="509">
        <f t="shared" si="0"/>
        <v>27.699961091000002</v>
      </c>
      <c r="V26" s="59">
        <f>Budget!B41*Valeurs!T26</f>
        <v>0</v>
      </c>
      <c r="W26" s="271">
        <f>Budget!G41*Valeurs!U26</f>
        <v>0</v>
      </c>
    </row>
    <row r="27" spans="1:23">
      <c r="A27" s="265" t="s">
        <v>109</v>
      </c>
      <c r="B27" s="266">
        <v>169.81</v>
      </c>
      <c r="C27" s="266">
        <f>Budget!B44*Valeurs!B27</f>
        <v>0</v>
      </c>
      <c r="D27" s="267">
        <f>Budget!G44*Valeurs!B27</f>
        <v>0</v>
      </c>
      <c r="E27" s="268">
        <v>71.89</v>
      </c>
      <c r="F27" s="266">
        <f>Budget!B44*Valeurs!E27</f>
        <v>0</v>
      </c>
      <c r="G27" s="267">
        <f>Budget!G44*Valeurs!E27</f>
        <v>0</v>
      </c>
      <c r="H27" s="268">
        <v>158.65</v>
      </c>
      <c r="I27" s="266">
        <f>Budget!B44*Valeurs!H27</f>
        <v>0</v>
      </c>
      <c r="J27" s="267">
        <f>Budget!G44*Valeurs!H27</f>
        <v>0</v>
      </c>
      <c r="K27" s="269"/>
      <c r="L27" s="270"/>
      <c r="M27" s="270"/>
      <c r="N27" s="266">
        <f>6500/40.3399</f>
        <v>161.1307911026056</v>
      </c>
      <c r="O27" s="266">
        <f>Budget!B44*Valeurs!N27</f>
        <v>0</v>
      </c>
      <c r="P27" s="267">
        <f>Budget!G44*Valeurs!N27</f>
        <v>0</v>
      </c>
      <c r="Q27" s="268">
        <v>22.31</v>
      </c>
      <c r="R27" s="266">
        <f>Budget!B44*Valeurs!Q27</f>
        <v>0</v>
      </c>
      <c r="S27" s="267">
        <f>Budget!G44*Valeurs!Q27</f>
        <v>0</v>
      </c>
      <c r="T27" s="508">
        <f>20-N27/(1000/40.3399)</f>
        <v>13.5</v>
      </c>
      <c r="U27" s="509">
        <f t="shared" si="0"/>
        <v>13.5</v>
      </c>
      <c r="V27" s="59">
        <f>Budget!B44*Valeurs!T27</f>
        <v>0</v>
      </c>
      <c r="W27" s="271">
        <f>Budget!G44*Valeurs!U27</f>
        <v>0</v>
      </c>
    </row>
    <row r="28" spans="1:23">
      <c r="A28" s="265" t="s">
        <v>111</v>
      </c>
      <c r="B28" s="266">
        <v>247.89</v>
      </c>
      <c r="C28" s="266">
        <f>Budget!B45*Valeurs!B28</f>
        <v>0</v>
      </c>
      <c r="D28" s="267">
        <f>Budget!G45*Valeurs!B28</f>
        <v>0</v>
      </c>
      <c r="E28" s="268">
        <v>71.89</v>
      </c>
      <c r="F28" s="266">
        <f>Budget!B45*Valeurs!E28</f>
        <v>0</v>
      </c>
      <c r="G28" s="267">
        <f>Budget!G45*Valeurs!E28</f>
        <v>0</v>
      </c>
      <c r="H28" s="268">
        <v>158.65</v>
      </c>
      <c r="I28" s="266">
        <f>Budget!B45*Valeurs!H28</f>
        <v>0</v>
      </c>
      <c r="J28" s="267">
        <f>Budget!G45*Valeurs!H28</f>
        <v>0</v>
      </c>
      <c r="K28" s="269"/>
      <c r="L28" s="270"/>
      <c r="M28" s="270"/>
      <c r="N28" s="266">
        <f>6500/40.3399</f>
        <v>161.1307911026056</v>
      </c>
      <c r="O28" s="266">
        <f>Budget!B45*Valeurs!N28</f>
        <v>0</v>
      </c>
      <c r="P28" s="267">
        <f>Budget!G45*Valeurs!N28</f>
        <v>0</v>
      </c>
      <c r="Q28" s="268">
        <v>22.31</v>
      </c>
      <c r="R28" s="266">
        <f>Budget!B45*Valeurs!Q28</f>
        <v>0</v>
      </c>
      <c r="S28" s="267">
        <f>Budget!G45*Valeurs!Q28</f>
        <v>0</v>
      </c>
      <c r="T28" s="508">
        <f>20-N28/(1000/40.3399)</f>
        <v>13.5</v>
      </c>
      <c r="U28" s="509">
        <f t="shared" si="0"/>
        <v>13.5</v>
      </c>
      <c r="V28" s="59">
        <f>Budget!B45*Valeurs!T28</f>
        <v>0</v>
      </c>
      <c r="W28" s="271">
        <f>Budget!G45*Valeurs!U28</f>
        <v>0</v>
      </c>
    </row>
    <row r="29" spans="1:23">
      <c r="A29" s="272" t="s">
        <v>590</v>
      </c>
      <c r="B29" s="266"/>
      <c r="C29" s="266">
        <f>Budget!B46*Valeurs!B29</f>
        <v>0</v>
      </c>
      <c r="D29" s="267">
        <f>Budget!G46*Valeurs!B29</f>
        <v>0</v>
      </c>
      <c r="E29" s="268"/>
      <c r="F29" s="266">
        <f>Budget!B46*Valeurs!E29</f>
        <v>0</v>
      </c>
      <c r="G29" s="267">
        <f>Budget!G46*Valeurs!E29</f>
        <v>0</v>
      </c>
      <c r="H29" s="268"/>
      <c r="I29" s="266">
        <f>Budget!B46*Valeurs!H29</f>
        <v>0</v>
      </c>
      <c r="J29" s="267">
        <f>Budget!G46*Valeurs!H29</f>
        <v>0</v>
      </c>
      <c r="K29" s="269"/>
      <c r="L29" s="270"/>
      <c r="M29" s="270"/>
      <c r="N29" s="266"/>
      <c r="O29" s="266">
        <f>Budget!B46*Valeurs!N29</f>
        <v>0</v>
      </c>
      <c r="P29" s="267">
        <f>Budget!G46*Valeurs!N29</f>
        <v>0</v>
      </c>
      <c r="Q29" s="268">
        <v>21.32</v>
      </c>
      <c r="R29" s="266">
        <f>Budget!B46*Valeurs!Q29</f>
        <v>0</v>
      </c>
      <c r="S29" s="267">
        <f>Budget!G46*Valeurs!Q29</f>
        <v>0</v>
      </c>
      <c r="T29" s="508"/>
      <c r="U29" s="509"/>
      <c r="V29" s="59"/>
      <c r="W29" s="271"/>
    </row>
    <row r="30" spans="1:23">
      <c r="A30" s="265" t="s">
        <v>114</v>
      </c>
      <c r="B30" s="266"/>
      <c r="C30" s="266">
        <f>Budget!B48*Valeurs!B30</f>
        <v>0</v>
      </c>
      <c r="D30" s="267">
        <f>Budget!G48*Valeurs!B30</f>
        <v>0</v>
      </c>
      <c r="E30" s="268"/>
      <c r="F30" s="266">
        <f>Budget!B48*Valeurs!E30</f>
        <v>0</v>
      </c>
      <c r="G30" s="267">
        <f>Budget!G48*Valeurs!E30</f>
        <v>0</v>
      </c>
      <c r="H30" s="268"/>
      <c r="I30" s="266">
        <f>Budget!B48*Valeurs!H30</f>
        <v>0</v>
      </c>
      <c r="J30" s="267">
        <f>Budget!G48*Valeurs!H30</f>
        <v>0</v>
      </c>
      <c r="K30" s="269"/>
      <c r="L30" s="270"/>
      <c r="M30" s="270"/>
      <c r="N30" s="266"/>
      <c r="O30" s="266">
        <f>Budget!B48*Valeurs!N30</f>
        <v>0</v>
      </c>
      <c r="P30" s="267">
        <f>Budget!G48*Valeurs!N30</f>
        <v>0</v>
      </c>
      <c r="Q30" s="268">
        <v>19.829999999999998</v>
      </c>
      <c r="R30" s="266">
        <f>Budget!B48*Valeurs!Q30</f>
        <v>0</v>
      </c>
      <c r="S30" s="267">
        <f>Budget!G48*Valeurs!Q30</f>
        <v>0</v>
      </c>
      <c r="T30" s="508"/>
      <c r="U30" s="509"/>
      <c r="V30" s="59"/>
      <c r="W30" s="271"/>
    </row>
    <row r="31" spans="1:23">
      <c r="A31" s="265" t="s">
        <v>115</v>
      </c>
      <c r="B31" s="266"/>
      <c r="C31" s="266">
        <f>Budget!B49*Valeurs!B31</f>
        <v>0</v>
      </c>
      <c r="D31" s="267">
        <f>Budget!G49*Valeurs!B31</f>
        <v>0</v>
      </c>
      <c r="E31" s="268"/>
      <c r="F31" s="266">
        <f>Budget!B49*Valeurs!E31</f>
        <v>0</v>
      </c>
      <c r="G31" s="267">
        <f>Budget!G49*Valeurs!E31</f>
        <v>0</v>
      </c>
      <c r="H31" s="268"/>
      <c r="I31" s="266">
        <f>Budget!B49*Valeurs!H31</f>
        <v>0</v>
      </c>
      <c r="J31" s="267">
        <f>Budget!G49*Valeurs!H31</f>
        <v>0</v>
      </c>
      <c r="K31" s="269"/>
      <c r="L31" s="270"/>
      <c r="M31" s="270"/>
      <c r="N31" s="266"/>
      <c r="O31" s="266">
        <f>Budget!B49*Valeurs!N31</f>
        <v>0</v>
      </c>
      <c r="P31" s="267">
        <f>Budget!G49*Valeurs!N31</f>
        <v>0</v>
      </c>
      <c r="Q31" s="268">
        <v>19.829999999999998</v>
      </c>
      <c r="R31" s="266">
        <f>Budget!B49*Valeurs!Q31</f>
        <v>0</v>
      </c>
      <c r="S31" s="267">
        <f>Budget!G49*Valeurs!Q31</f>
        <v>0</v>
      </c>
      <c r="T31" s="508"/>
      <c r="U31" s="509"/>
      <c r="V31" s="59"/>
      <c r="W31" s="271"/>
    </row>
    <row r="32" spans="1:23">
      <c r="A32" s="265" t="s">
        <v>116</v>
      </c>
      <c r="B32" s="266"/>
      <c r="C32" s="266">
        <f>Budget!B50*Valeurs!B32</f>
        <v>0</v>
      </c>
      <c r="D32" s="267">
        <f>Budget!G50*Valeurs!B32</f>
        <v>0</v>
      </c>
      <c r="E32" s="268"/>
      <c r="F32" s="266">
        <f>Budget!B50*Valeurs!E32</f>
        <v>0</v>
      </c>
      <c r="G32" s="267">
        <f>Budget!G50*Valeurs!E32</f>
        <v>0</v>
      </c>
      <c r="H32" s="268"/>
      <c r="I32" s="266">
        <f>Budget!B50*Valeurs!H32</f>
        <v>0</v>
      </c>
      <c r="J32" s="267">
        <f>Budget!G50*Valeurs!H32</f>
        <v>0</v>
      </c>
      <c r="K32" s="269"/>
      <c r="L32" s="270"/>
      <c r="M32" s="270"/>
      <c r="N32" s="266"/>
      <c r="O32" s="266">
        <f>Budget!B50*Valeurs!N32</f>
        <v>0</v>
      </c>
      <c r="P32" s="267">
        <f>Budget!G50*Valeurs!N32</f>
        <v>0</v>
      </c>
      <c r="Q32" s="268">
        <v>18.84</v>
      </c>
      <c r="R32" s="266">
        <f>Budget!B50*Valeurs!Q32</f>
        <v>0</v>
      </c>
      <c r="S32" s="267">
        <f>Budget!G50*Valeurs!Q32</f>
        <v>0</v>
      </c>
      <c r="T32" s="508"/>
      <c r="U32" s="509"/>
      <c r="V32" s="59"/>
      <c r="W32" s="271"/>
    </row>
    <row r="33" spans="1:23">
      <c r="A33" s="272" t="s">
        <v>591</v>
      </c>
      <c r="B33" s="266"/>
      <c r="C33" s="266"/>
      <c r="D33" s="267"/>
      <c r="E33" s="268"/>
      <c r="F33" s="266"/>
      <c r="G33" s="267"/>
      <c r="H33" s="268"/>
      <c r="I33" s="266"/>
      <c r="J33" s="267"/>
      <c r="K33" s="269"/>
      <c r="L33" s="270"/>
      <c r="M33" s="270"/>
      <c r="N33" s="266"/>
      <c r="O33" s="266"/>
      <c r="P33" s="267"/>
      <c r="Q33" s="268">
        <v>9.17</v>
      </c>
      <c r="R33" s="266"/>
      <c r="S33" s="267"/>
      <c r="T33" s="508">
        <v>5</v>
      </c>
      <c r="U33" s="509">
        <f>T33</f>
        <v>5</v>
      </c>
      <c r="V33" s="59">
        <f>Budget!B57*Valeurs!T33</f>
        <v>0</v>
      </c>
      <c r="W33" s="271">
        <f>Budget!G57*Valeurs!U33</f>
        <v>0</v>
      </c>
    </row>
    <row r="34" spans="1:23">
      <c r="A34" s="272" t="s">
        <v>592</v>
      </c>
      <c r="B34" s="266"/>
      <c r="C34" s="266"/>
      <c r="D34" s="267"/>
      <c r="E34" s="268"/>
      <c r="F34" s="266"/>
      <c r="G34" s="267"/>
      <c r="H34" s="268"/>
      <c r="I34" s="266"/>
      <c r="J34" s="267"/>
      <c r="K34" s="269"/>
      <c r="L34" s="270"/>
      <c r="M34" s="270"/>
      <c r="N34" s="266"/>
      <c r="O34" s="266"/>
      <c r="P34" s="267"/>
      <c r="Q34" s="268">
        <v>9.17</v>
      </c>
      <c r="R34" s="266"/>
      <c r="S34" s="267"/>
      <c r="T34" s="508">
        <v>5</v>
      </c>
      <c r="U34" s="509">
        <f>T34</f>
        <v>5</v>
      </c>
      <c r="V34" s="59">
        <f>Budget!B58*Valeurs!T34</f>
        <v>0</v>
      </c>
      <c r="W34" s="271">
        <f>Budget!G58*Valeurs!U34</f>
        <v>0</v>
      </c>
    </row>
    <row r="35" spans="1:23">
      <c r="A35" s="265" t="s">
        <v>135</v>
      </c>
      <c r="B35" s="266">
        <v>2.23</v>
      </c>
      <c r="C35" s="266"/>
      <c r="D35" s="267"/>
      <c r="E35" s="268">
        <v>111.55</v>
      </c>
      <c r="F35" s="266">
        <f>Budget!B74*Valeurs!E35</f>
        <v>0</v>
      </c>
      <c r="G35" s="267">
        <f>Budget!G74*Valeurs!E35</f>
        <v>0</v>
      </c>
      <c r="H35" s="268">
        <v>3.97</v>
      </c>
      <c r="I35" s="266">
        <f>Budget!B74*Valeurs!H35</f>
        <v>0</v>
      </c>
      <c r="J35" s="267">
        <f>Budget!G74*Valeurs!H35</f>
        <v>0</v>
      </c>
      <c r="K35" s="269"/>
      <c r="L35" s="270"/>
      <c r="M35" s="270"/>
      <c r="N35" s="266"/>
      <c r="O35" s="266">
        <f>Budget!B74*Valeurs!N35</f>
        <v>0</v>
      </c>
      <c r="P35" s="267">
        <f>Budget!G74*Valeurs!N35</f>
        <v>0</v>
      </c>
      <c r="Q35" s="268"/>
      <c r="R35" s="266">
        <f>Budget!B74*Valeurs!Q35</f>
        <v>0</v>
      </c>
      <c r="S35" s="267">
        <f>Budget!G74*Valeurs!Q35</f>
        <v>0</v>
      </c>
      <c r="T35" s="508">
        <v>14</v>
      </c>
      <c r="U35" s="509">
        <f>T35</f>
        <v>14</v>
      </c>
      <c r="V35" s="59">
        <f>Budget!B74*Valeurs!T35</f>
        <v>0</v>
      </c>
      <c r="W35" s="271">
        <f>Budget!G74*Valeurs!U35</f>
        <v>0</v>
      </c>
    </row>
    <row r="36" spans="1:23">
      <c r="A36" s="265" t="s">
        <v>138</v>
      </c>
      <c r="B36" s="266">
        <v>2.23</v>
      </c>
      <c r="C36" s="266"/>
      <c r="D36" s="267"/>
      <c r="E36" s="268">
        <v>111.55</v>
      </c>
      <c r="F36" s="266">
        <f>Budget!B75*Valeurs!E36</f>
        <v>0</v>
      </c>
      <c r="G36" s="267">
        <f>Budget!G75*Valeurs!E36</f>
        <v>0</v>
      </c>
      <c r="H36" s="268">
        <v>3.97</v>
      </c>
      <c r="I36" s="266">
        <f>Budget!B75*Valeurs!H36</f>
        <v>0</v>
      </c>
      <c r="J36" s="267">
        <f>Budget!G75*Valeurs!H36</f>
        <v>0</v>
      </c>
      <c r="K36" s="269"/>
      <c r="L36" s="270">
        <v>37.18</v>
      </c>
      <c r="M36" s="270">
        <v>74.37</v>
      </c>
      <c r="N36" s="266">
        <f>SUM(K36:M36)</f>
        <v>111.55000000000001</v>
      </c>
      <c r="O36" s="266">
        <f>Budget!B75*Valeurs!N36</f>
        <v>0</v>
      </c>
      <c r="P36" s="267">
        <f>Budget!G75*Valeurs!N36</f>
        <v>0</v>
      </c>
      <c r="Q36" s="268"/>
      <c r="R36" s="266">
        <f>Budget!B75*Valeurs!Q36</f>
        <v>0</v>
      </c>
      <c r="S36" s="267">
        <f>Budget!G75*Valeurs!Q36</f>
        <v>0</v>
      </c>
      <c r="T36" s="508">
        <f>24-N36/(1000/40.3399)</f>
        <v>19.500084155</v>
      </c>
      <c r="U36" s="509">
        <f>T36</f>
        <v>19.500084155</v>
      </c>
      <c r="V36" s="59">
        <f>Budget!B75*Valeurs!T36</f>
        <v>0</v>
      </c>
      <c r="W36" s="271">
        <f>Budget!G75*Valeurs!U36</f>
        <v>0</v>
      </c>
    </row>
    <row r="37" spans="1:23">
      <c r="A37" s="265" t="s">
        <v>139</v>
      </c>
      <c r="B37" s="266">
        <v>168.57</v>
      </c>
      <c r="C37" s="266">
        <f>Budget!B77*Valeurs!B37</f>
        <v>0</v>
      </c>
      <c r="D37" s="267">
        <f>Budget!G77*Valeurs!B37</f>
        <v>0</v>
      </c>
      <c r="E37" s="268">
        <v>213.19</v>
      </c>
      <c r="F37" s="266">
        <f>Budget!B77*Valeurs!E37</f>
        <v>0</v>
      </c>
      <c r="G37" s="267">
        <f>Budget!G77*Valeurs!E37</f>
        <v>0</v>
      </c>
      <c r="H37" s="268">
        <v>178.48</v>
      </c>
      <c r="I37" s="266">
        <f>Budget!B77*Valeurs!H37</f>
        <v>0</v>
      </c>
      <c r="J37" s="267">
        <f>Budget!G77*Valeurs!H37</f>
        <v>0</v>
      </c>
      <c r="K37" s="269">
        <v>49.58</v>
      </c>
      <c r="L37" s="270">
        <v>218.15</v>
      </c>
      <c r="M37" s="270"/>
      <c r="N37" s="266">
        <f>SUM(K37:M37)</f>
        <v>267.73</v>
      </c>
      <c r="O37" s="266">
        <f>Budget!B77*Valeurs!N37</f>
        <v>0</v>
      </c>
      <c r="P37" s="267">
        <f>Budget!G77*Valeurs!N37</f>
        <v>0</v>
      </c>
      <c r="Q37" s="268">
        <v>37.68</v>
      </c>
      <c r="R37" s="266">
        <f>Budget!B77*Valeurs!Q37</f>
        <v>0</v>
      </c>
      <c r="S37" s="267">
        <f>Budget!G77*Valeurs!Q37</f>
        <v>0</v>
      </c>
      <c r="T37" s="508">
        <f>45-N37/(1000/40.3399)</f>
        <v>34.199798573000002</v>
      </c>
      <c r="U37" s="509">
        <f>T37</f>
        <v>34.199798573000002</v>
      </c>
      <c r="V37" s="59">
        <f>Budget!B77*Valeurs!T37</f>
        <v>0</v>
      </c>
      <c r="W37" s="271">
        <f>Budget!G77*Valeurs!U37</f>
        <v>0</v>
      </c>
    </row>
    <row r="38" spans="1:23">
      <c r="A38" s="265" t="s">
        <v>140</v>
      </c>
      <c r="B38" s="266"/>
      <c r="C38" s="266">
        <f>Budget!B78*Valeurs!B38</f>
        <v>0</v>
      </c>
      <c r="D38" s="267">
        <f>Budget!G78*Valeurs!B38</f>
        <v>0</v>
      </c>
      <c r="E38" s="268"/>
      <c r="F38" s="266">
        <f>Budget!B78*Valeurs!E38</f>
        <v>0</v>
      </c>
      <c r="G38" s="267">
        <f>Budget!G78*Valeurs!E38</f>
        <v>0</v>
      </c>
      <c r="H38" s="268"/>
      <c r="I38" s="266">
        <f>Budget!B78*Valeurs!H38</f>
        <v>0</v>
      </c>
      <c r="J38" s="267">
        <f>Budget!G78*Valeurs!H38</f>
        <v>0</v>
      </c>
      <c r="K38" s="269"/>
      <c r="L38" s="270"/>
      <c r="M38" s="270"/>
      <c r="N38" s="266"/>
      <c r="O38" s="266">
        <f>Budget!B78*Valeurs!N38</f>
        <v>0</v>
      </c>
      <c r="P38" s="267">
        <f>Budget!G78*Valeurs!N38</f>
        <v>0</v>
      </c>
      <c r="Q38" s="268"/>
      <c r="R38" s="266">
        <f>Budget!B78*Valeurs!Q38</f>
        <v>0</v>
      </c>
      <c r="S38" s="267">
        <f>Budget!G78*Valeurs!Q38</f>
        <v>0</v>
      </c>
      <c r="T38" s="508"/>
      <c r="U38" s="509"/>
      <c r="V38" s="59">
        <f>Budget!B78*Valeurs!T38</f>
        <v>0</v>
      </c>
      <c r="W38" s="271">
        <f>Budget!G78*Valeurs!U38</f>
        <v>0</v>
      </c>
    </row>
    <row r="39" spans="1:23">
      <c r="A39" s="265" t="s">
        <v>141</v>
      </c>
      <c r="B39" s="266">
        <v>37.18</v>
      </c>
      <c r="C39" s="266">
        <f>Budget!B79*Valeurs!B39</f>
        <v>0</v>
      </c>
      <c r="D39" s="267">
        <f>Budget!G79*Valeurs!B39</f>
        <v>0</v>
      </c>
      <c r="E39" s="268">
        <v>29.75</v>
      </c>
      <c r="F39" s="266">
        <f>Budget!B79*Valeurs!E39</f>
        <v>0</v>
      </c>
      <c r="G39" s="267">
        <f>Budget!G79*Valeurs!E39</f>
        <v>0</v>
      </c>
      <c r="H39" s="268">
        <v>14.87</v>
      </c>
      <c r="I39" s="266">
        <f>Budget!B79*Valeurs!H39</f>
        <v>0</v>
      </c>
      <c r="J39" s="267">
        <f>Budget!G79*Valeurs!H39</f>
        <v>0</v>
      </c>
      <c r="K39" s="269"/>
      <c r="L39" s="270"/>
      <c r="M39" s="270"/>
      <c r="N39" s="266"/>
      <c r="O39" s="266">
        <f>Budget!B79*Valeurs!N39</f>
        <v>0</v>
      </c>
      <c r="P39" s="267">
        <f>Budget!G79*Valeurs!N39</f>
        <v>0</v>
      </c>
      <c r="Q39" s="268"/>
      <c r="R39" s="266">
        <f>Budget!B79*Valeurs!Q39</f>
        <v>0</v>
      </c>
      <c r="S39" s="267">
        <f>Budget!G79*Valeurs!Q39</f>
        <v>0</v>
      </c>
      <c r="T39" s="508"/>
      <c r="U39" s="509"/>
      <c r="V39" s="59">
        <f>Budget!B79*Valeurs!T39</f>
        <v>0</v>
      </c>
      <c r="W39" s="271">
        <f>Budget!G79*Valeurs!U39</f>
        <v>0</v>
      </c>
    </row>
    <row r="40" spans="1:23">
      <c r="A40" s="265" t="s">
        <v>142</v>
      </c>
      <c r="B40" s="266"/>
      <c r="C40" s="266">
        <f>Budget!B80*Valeurs!B40</f>
        <v>0</v>
      </c>
      <c r="D40" s="267">
        <f>Budget!G80*Valeurs!B40</f>
        <v>0</v>
      </c>
      <c r="E40" s="268"/>
      <c r="F40" s="266">
        <f>Budget!B80*Valeurs!E40</f>
        <v>0</v>
      </c>
      <c r="G40" s="267">
        <f>Budget!G80*Valeurs!E40</f>
        <v>0</v>
      </c>
      <c r="H40" s="268"/>
      <c r="I40" s="266">
        <f>Budget!B80*Valeurs!H40</f>
        <v>0</v>
      </c>
      <c r="J40" s="267">
        <f>Budget!G80*Valeurs!H40</f>
        <v>0</v>
      </c>
      <c r="K40" s="269"/>
      <c r="L40" s="270"/>
      <c r="M40" s="270"/>
      <c r="N40" s="266"/>
      <c r="O40" s="266">
        <f>Budget!B80*Valeurs!N40</f>
        <v>0</v>
      </c>
      <c r="P40" s="267">
        <f>Budget!G80*Valeurs!N40</f>
        <v>0</v>
      </c>
      <c r="Q40" s="268"/>
      <c r="R40" s="266">
        <f>Budget!B80*Valeurs!Q40</f>
        <v>0</v>
      </c>
      <c r="S40" s="267">
        <f>Budget!G80*Valeurs!Q40</f>
        <v>0</v>
      </c>
      <c r="T40" s="508"/>
      <c r="U40" s="509"/>
      <c r="V40" s="59">
        <f>Budget!B80*Valeurs!T40</f>
        <v>0</v>
      </c>
      <c r="W40" s="271">
        <f>Budget!G80*Valeurs!U40</f>
        <v>0</v>
      </c>
    </row>
    <row r="41" spans="1:23">
      <c r="A41" s="265" t="s">
        <v>143</v>
      </c>
      <c r="B41" s="266">
        <v>136.34</v>
      </c>
      <c r="C41" s="266">
        <f>Budget!B82*Valeurs!B41</f>
        <v>0</v>
      </c>
      <c r="D41" s="267">
        <f>Budget!G82*Valeurs!B41</f>
        <v>0</v>
      </c>
      <c r="E41" s="268">
        <v>185.92</v>
      </c>
      <c r="F41" s="266">
        <f>Budget!B82*Valeurs!E41</f>
        <v>0</v>
      </c>
      <c r="G41" s="267">
        <f>Budget!G82*Valeurs!E41</f>
        <v>0</v>
      </c>
      <c r="H41" s="268">
        <v>52.06</v>
      </c>
      <c r="I41" s="266">
        <f>Budget!B82*Valeurs!H41</f>
        <v>0</v>
      </c>
      <c r="J41" s="267">
        <f>Budget!G82*Valeurs!H41</f>
        <v>0</v>
      </c>
      <c r="K41" s="269">
        <v>54.54</v>
      </c>
      <c r="L41" s="270">
        <v>223.1</v>
      </c>
      <c r="M41" s="270"/>
      <c r="N41" s="266">
        <f>SUM(K41:M41)</f>
        <v>277.64</v>
      </c>
      <c r="O41" s="266">
        <f>Budget!B82*Valeurs!N41</f>
        <v>0</v>
      </c>
      <c r="P41" s="267">
        <f>Budget!G82*Valeurs!N41</f>
        <v>0</v>
      </c>
      <c r="Q41" s="268">
        <v>21.07</v>
      </c>
      <c r="R41" s="266">
        <f>Budget!B82*Valeurs!Q41</f>
        <v>0</v>
      </c>
      <c r="S41" s="267">
        <f>Budget!G82*Valeurs!Q41</f>
        <v>0</v>
      </c>
      <c r="T41" s="508">
        <f>30-N41/(1000/40.3399)</f>
        <v>18.800030163999999</v>
      </c>
      <c r="U41" s="509">
        <f>T41</f>
        <v>18.800030163999999</v>
      </c>
      <c r="V41" s="59">
        <f>Budget!B82*Valeurs!T41</f>
        <v>0</v>
      </c>
      <c r="W41" s="271">
        <f>Budget!G82*Valeurs!U41</f>
        <v>0</v>
      </c>
    </row>
    <row r="42" spans="1:23">
      <c r="A42" s="265" t="s">
        <v>144</v>
      </c>
      <c r="B42" s="266">
        <v>185.92</v>
      </c>
      <c r="C42" s="266">
        <f>Budget!B83*Valeurs!B42</f>
        <v>0</v>
      </c>
      <c r="D42" s="267">
        <f>Budget!G83*Valeurs!B42</f>
        <v>0</v>
      </c>
      <c r="E42" s="268">
        <v>200.79</v>
      </c>
      <c r="F42" s="266">
        <f>Budget!B83*Valeurs!E42</f>
        <v>0</v>
      </c>
      <c r="G42" s="267">
        <f>Budget!G83*Valeurs!E42</f>
        <v>0</v>
      </c>
      <c r="H42" s="268">
        <v>68.17</v>
      </c>
      <c r="I42" s="266">
        <f>Budget!B83*Valeurs!H42</f>
        <v>0</v>
      </c>
      <c r="J42" s="267">
        <f>Budget!G83*Valeurs!H42</f>
        <v>0</v>
      </c>
      <c r="K42" s="269">
        <v>54.54</v>
      </c>
      <c r="L42" s="270">
        <v>198.31</v>
      </c>
      <c r="M42" s="270"/>
      <c r="N42" s="266">
        <f>SUM(K42:M42)</f>
        <v>252.85</v>
      </c>
      <c r="O42" s="266">
        <f>Budget!B83*Valeurs!N42</f>
        <v>0</v>
      </c>
      <c r="P42" s="267">
        <f>Budget!G83*Valeurs!N42</f>
        <v>0</v>
      </c>
      <c r="Q42" s="268">
        <v>21.07</v>
      </c>
      <c r="R42" s="266">
        <f>Budget!B83*Valeurs!Q42</f>
        <v>0</v>
      </c>
      <c r="S42" s="267">
        <f>Budget!G83*Valeurs!Q42</f>
        <v>0</v>
      </c>
      <c r="T42" s="508">
        <f>30-N42/(1000/40.3399)</f>
        <v>19.800056285</v>
      </c>
      <c r="U42" s="509">
        <f>T42</f>
        <v>19.800056285</v>
      </c>
      <c r="V42" s="59">
        <f>Budget!B83*Valeurs!T42</f>
        <v>0</v>
      </c>
      <c r="W42" s="271">
        <f>Budget!G83*Valeurs!U42</f>
        <v>0</v>
      </c>
    </row>
    <row r="43" spans="1:23">
      <c r="A43" s="265" t="s">
        <v>145</v>
      </c>
      <c r="B43" s="266">
        <v>24.79</v>
      </c>
      <c r="C43" s="266">
        <f>Budget!B85*Valeurs!B43</f>
        <v>0</v>
      </c>
      <c r="D43" s="267">
        <f>Budget!G85*Valeurs!B43</f>
        <v>0</v>
      </c>
      <c r="E43" s="268">
        <v>183.44</v>
      </c>
      <c r="F43" s="266">
        <f>Budget!B85*Valeurs!E43</f>
        <v>0</v>
      </c>
      <c r="G43" s="267">
        <f>Budget!G85*Valeurs!E43</f>
        <v>0</v>
      </c>
      <c r="H43" s="268">
        <v>7.44</v>
      </c>
      <c r="I43" s="266">
        <f>Budget!B85*Valeurs!H43</f>
        <v>0</v>
      </c>
      <c r="J43" s="267">
        <f>Budget!G85*Valeurs!H43</f>
        <v>0</v>
      </c>
      <c r="K43" s="269"/>
      <c r="L43" s="270">
        <v>123.95</v>
      </c>
      <c r="M43" s="270">
        <v>74.37</v>
      </c>
      <c r="N43" s="266">
        <f>SUM(K43:M43)</f>
        <v>198.32</v>
      </c>
      <c r="O43" s="266">
        <f>Budget!B85*Valeurs!N43</f>
        <v>0</v>
      </c>
      <c r="P43" s="267">
        <f>Budget!G85*Valeurs!N43</f>
        <v>0</v>
      </c>
      <c r="Q43" s="268">
        <v>20.82</v>
      </c>
      <c r="R43" s="266">
        <f>Budget!B85*Valeurs!Q43</f>
        <v>0</v>
      </c>
      <c r="S43" s="267">
        <f>Budget!G85*Valeurs!Q43</f>
        <v>0</v>
      </c>
      <c r="T43" s="508">
        <f>32-N43/(1000/40.3399)</f>
        <v>23.999791032000001</v>
      </c>
      <c r="U43" s="509">
        <f>T43</f>
        <v>23.999791032000001</v>
      </c>
      <c r="V43" s="59">
        <f>Budget!B85*Valeurs!T43</f>
        <v>0</v>
      </c>
      <c r="W43" s="271">
        <f>Budget!G85*Valeurs!U43</f>
        <v>0</v>
      </c>
    </row>
    <row r="44" spans="1:23">
      <c r="A44" s="265" t="s">
        <v>146</v>
      </c>
      <c r="B44" s="266">
        <v>74.37</v>
      </c>
      <c r="C44" s="266">
        <f>Budget!B86*Valeurs!B44</f>
        <v>0</v>
      </c>
      <c r="D44" s="267">
        <f>Budget!G86*Valeurs!B44</f>
        <v>0</v>
      </c>
      <c r="E44" s="268">
        <v>99.16</v>
      </c>
      <c r="F44" s="266">
        <f>Budget!B86*Valeurs!E44</f>
        <v>0</v>
      </c>
      <c r="G44" s="267">
        <f>Budget!G86*Valeurs!E44</f>
        <v>0</v>
      </c>
      <c r="H44" s="268">
        <v>7.44</v>
      </c>
      <c r="I44" s="266">
        <f>Budget!B86*Valeurs!H44</f>
        <v>0</v>
      </c>
      <c r="J44" s="267">
        <f>Budget!G86*Valeurs!H44</f>
        <v>0</v>
      </c>
      <c r="K44" s="269"/>
      <c r="L44" s="270">
        <v>123.95</v>
      </c>
      <c r="M44" s="270"/>
      <c r="N44" s="266">
        <f>SUM(K44:M44)</f>
        <v>123.95</v>
      </c>
      <c r="O44" s="266">
        <f>Budget!B86*Valeurs!N44</f>
        <v>0</v>
      </c>
      <c r="P44" s="267">
        <f>Budget!G86*Valeurs!N44</f>
        <v>0</v>
      </c>
      <c r="Q44" s="268"/>
      <c r="R44" s="266">
        <f>Budget!B86*Valeurs!Q44</f>
        <v>0</v>
      </c>
      <c r="S44" s="267">
        <f>Budget!G86*Valeurs!Q44</f>
        <v>0</v>
      </c>
      <c r="T44" s="508">
        <f>20-N44/(1000/40.3399)</f>
        <v>14.999869395000001</v>
      </c>
      <c r="U44" s="509">
        <f>T44</f>
        <v>14.999869395000001</v>
      </c>
      <c r="V44" s="59">
        <f>Budget!B86*Valeurs!T44</f>
        <v>0</v>
      </c>
      <c r="W44" s="271">
        <f>Budget!G86*Valeurs!U44</f>
        <v>0</v>
      </c>
    </row>
    <row r="45" spans="1:23">
      <c r="A45" s="265" t="s">
        <v>147</v>
      </c>
      <c r="B45" s="266">
        <v>37.18</v>
      </c>
      <c r="C45" s="266"/>
      <c r="D45" s="267"/>
      <c r="E45" s="268"/>
      <c r="F45" s="266"/>
      <c r="G45" s="267"/>
      <c r="H45" s="268"/>
      <c r="I45" s="266"/>
      <c r="J45" s="267"/>
      <c r="K45" s="269"/>
      <c r="L45" s="270"/>
      <c r="M45" s="270"/>
      <c r="N45" s="266"/>
      <c r="O45" s="266"/>
      <c r="P45" s="267"/>
      <c r="Q45" s="268"/>
      <c r="R45" s="266"/>
      <c r="S45" s="267"/>
      <c r="T45" s="508"/>
      <c r="U45" s="509"/>
      <c r="V45" s="59"/>
      <c r="W45" s="271"/>
    </row>
    <row r="46" spans="1:23">
      <c r="A46" s="265" t="s">
        <v>151</v>
      </c>
      <c r="B46" s="266">
        <v>32.229999999999997</v>
      </c>
      <c r="C46" s="266"/>
      <c r="D46" s="267"/>
      <c r="E46" s="268">
        <v>24.79</v>
      </c>
      <c r="F46" s="266"/>
      <c r="G46" s="267"/>
      <c r="H46" s="268"/>
      <c r="I46" s="266"/>
      <c r="J46" s="267"/>
      <c r="K46" s="269"/>
      <c r="L46" s="270"/>
      <c r="M46" s="270"/>
      <c r="N46" s="266"/>
      <c r="O46" s="266"/>
      <c r="P46" s="267"/>
      <c r="Q46" s="268">
        <v>10.16</v>
      </c>
      <c r="R46" s="266"/>
      <c r="S46" s="267"/>
      <c r="T46" s="508"/>
      <c r="U46" s="509"/>
      <c r="V46" s="59"/>
      <c r="W46" s="271"/>
    </row>
    <row r="47" spans="1:23" ht="15">
      <c r="A47" s="265" t="s">
        <v>153</v>
      </c>
      <c r="B47" s="266"/>
      <c r="C47" s="266"/>
      <c r="D47" s="267"/>
      <c r="E47" s="268"/>
      <c r="F47" s="266"/>
      <c r="G47" s="267"/>
      <c r="H47" s="268"/>
      <c r="I47" s="266"/>
      <c r="J47" s="267"/>
      <c r="K47" s="269"/>
      <c r="L47" s="270"/>
      <c r="M47" s="273"/>
      <c r="N47" s="266"/>
      <c r="O47" s="266"/>
      <c r="P47" s="267"/>
      <c r="Q47" s="268">
        <v>19.34</v>
      </c>
      <c r="R47" s="266"/>
      <c r="S47" s="267"/>
      <c r="T47" s="508"/>
      <c r="U47" s="509"/>
      <c r="V47" s="59"/>
      <c r="W47" s="271"/>
    </row>
    <row r="48" spans="1:23" ht="13.5" thickBot="1">
      <c r="A48" s="265" t="s">
        <v>113</v>
      </c>
      <c r="B48" s="274"/>
      <c r="C48" s="274"/>
      <c r="D48" s="275"/>
      <c r="E48" s="276"/>
      <c r="F48" s="274"/>
      <c r="G48" s="275"/>
      <c r="H48" s="276"/>
      <c r="I48" s="274"/>
      <c r="J48" s="275"/>
      <c r="K48" s="277"/>
      <c r="L48" s="278"/>
      <c r="M48" s="270"/>
      <c r="N48" s="274"/>
      <c r="O48" s="274"/>
      <c r="P48" s="275"/>
      <c r="Q48" s="276">
        <v>19.829999999999998</v>
      </c>
      <c r="R48" s="274"/>
      <c r="S48" s="275"/>
      <c r="T48" s="510"/>
      <c r="U48" s="511"/>
      <c r="V48" s="279"/>
      <c r="W48" s="280"/>
    </row>
    <row r="49" spans="1:23" s="290" customFormat="1" ht="13.5" thickBot="1">
      <c r="A49" s="281" t="s">
        <v>292</v>
      </c>
      <c r="B49" s="282" t="s">
        <v>256</v>
      </c>
      <c r="C49" s="283">
        <f>SUM(C14:C48)</f>
        <v>0</v>
      </c>
      <c r="D49" s="283">
        <f>SUM(D14:D48)</f>
        <v>0</v>
      </c>
      <c r="E49" s="282" t="s">
        <v>256</v>
      </c>
      <c r="F49" s="283">
        <f>SUM(F14:F48)</f>
        <v>0</v>
      </c>
      <c r="G49" s="283">
        <f>SUM(G14:G48)</f>
        <v>0</v>
      </c>
      <c r="H49" s="282" t="s">
        <v>256</v>
      </c>
      <c r="I49" s="283">
        <f>SUM(I14:I48)</f>
        <v>0</v>
      </c>
      <c r="J49" s="283">
        <f>SUM(J14:J48)</f>
        <v>0</v>
      </c>
      <c r="K49" s="282" t="s">
        <v>256</v>
      </c>
      <c r="L49" s="284" t="s">
        <v>256</v>
      </c>
      <c r="M49" s="284" t="s">
        <v>256</v>
      </c>
      <c r="N49" s="284" t="s">
        <v>256</v>
      </c>
      <c r="O49" s="283">
        <f>SUM(O14:O48)</f>
        <v>0</v>
      </c>
      <c r="P49" s="285">
        <f>SUM(P14:P48)</f>
        <v>0</v>
      </c>
      <c r="Q49" s="282" t="s">
        <v>256</v>
      </c>
      <c r="R49" s="283">
        <f>SUM(R14:R48)</f>
        <v>0</v>
      </c>
      <c r="S49" s="283">
        <f>SUM(S14:S48)</f>
        <v>0</v>
      </c>
      <c r="T49" s="286" t="s">
        <v>256</v>
      </c>
      <c r="U49" s="287" t="s">
        <v>256</v>
      </c>
      <c r="V49" s="288">
        <f>SUM(V14:V48)</f>
        <v>0</v>
      </c>
      <c r="W49" s="289">
        <f>SUM(W14:W48)</f>
        <v>0</v>
      </c>
    </row>
    <row r="50" spans="1:23" ht="13.5" thickBot="1"/>
    <row r="51" spans="1:23" s="247" customFormat="1">
      <c r="A51" s="291" t="s">
        <v>258</v>
      </c>
      <c r="B51" s="245" t="s">
        <v>221</v>
      </c>
      <c r="C51" s="292"/>
      <c r="D51" s="293"/>
      <c r="E51" s="245" t="s">
        <v>593</v>
      </c>
      <c r="F51" s="292"/>
      <c r="G51" s="293"/>
      <c r="H51" s="245" t="s">
        <v>224</v>
      </c>
      <c r="I51" s="292"/>
      <c r="J51" s="293"/>
      <c r="K51" s="245" t="s">
        <v>225</v>
      </c>
      <c r="L51" s="292"/>
      <c r="M51" s="293"/>
      <c r="N51" s="245" t="s">
        <v>577</v>
      </c>
      <c r="O51" s="292"/>
      <c r="P51" s="293"/>
      <c r="Q51" s="245" t="s">
        <v>594</v>
      </c>
      <c r="R51" s="292"/>
      <c r="S51" s="293"/>
      <c r="T51" s="245" t="s">
        <v>222</v>
      </c>
      <c r="U51" s="292"/>
      <c r="V51" s="293"/>
    </row>
    <row r="52" spans="1:23" s="247" customFormat="1">
      <c r="A52" s="294"/>
      <c r="B52" s="295" t="s">
        <v>595</v>
      </c>
      <c r="C52" s="296" t="s">
        <v>82</v>
      </c>
      <c r="D52" s="297" t="s">
        <v>83</v>
      </c>
      <c r="E52" s="298" t="s">
        <v>595</v>
      </c>
      <c r="F52" s="296" t="s">
        <v>82</v>
      </c>
      <c r="G52" s="297" t="s">
        <v>83</v>
      </c>
      <c r="H52" s="298" t="s">
        <v>595</v>
      </c>
      <c r="I52" s="296" t="s">
        <v>82</v>
      </c>
      <c r="J52" s="297" t="s">
        <v>83</v>
      </c>
      <c r="K52" s="298" t="s">
        <v>595</v>
      </c>
      <c r="L52" s="296" t="s">
        <v>82</v>
      </c>
      <c r="M52" s="297" t="s">
        <v>83</v>
      </c>
      <c r="N52" s="298" t="s">
        <v>595</v>
      </c>
      <c r="O52" s="296" t="s">
        <v>82</v>
      </c>
      <c r="P52" s="297" t="s">
        <v>83</v>
      </c>
      <c r="Q52" s="298" t="s">
        <v>596</v>
      </c>
      <c r="R52" s="296" t="s">
        <v>82</v>
      </c>
      <c r="S52" s="297" t="s">
        <v>83</v>
      </c>
      <c r="T52" s="298" t="s">
        <v>595</v>
      </c>
      <c r="U52" s="296" t="s">
        <v>82</v>
      </c>
      <c r="V52" s="297" t="s">
        <v>83</v>
      </c>
    </row>
    <row r="53" spans="1:23">
      <c r="A53" s="265" t="s">
        <v>181</v>
      </c>
      <c r="B53" s="266">
        <v>3.57</v>
      </c>
      <c r="C53" s="266">
        <f>Budget!B136*Valeurs!B53</f>
        <v>0</v>
      </c>
      <c r="D53" s="267">
        <f>Budget!G136*Valeurs!B53</f>
        <v>0</v>
      </c>
      <c r="E53" s="268">
        <v>1.61</v>
      </c>
      <c r="F53" s="266">
        <f>Budget!B136*Valeurs!E53</f>
        <v>0</v>
      </c>
      <c r="G53" s="267">
        <f>Budget!G136*Valeurs!E53</f>
        <v>0</v>
      </c>
      <c r="H53" s="268"/>
      <c r="I53" s="266"/>
      <c r="J53" s="267"/>
      <c r="K53" s="268"/>
      <c r="L53" s="266"/>
      <c r="M53" s="267"/>
      <c r="N53" s="268">
        <v>0.48</v>
      </c>
      <c r="O53" s="266">
        <f>Budget!B136*Valeurs!N53</f>
        <v>0</v>
      </c>
      <c r="P53" s="267">
        <f>Budget!G136*Valeurs!N53</f>
        <v>0</v>
      </c>
      <c r="Q53" s="299">
        <v>12</v>
      </c>
      <c r="R53" s="43">
        <f>Budget!B136*Valeurs!Q53</f>
        <v>0</v>
      </c>
      <c r="S53" s="300">
        <f>Budget!G136*Valeurs!Q53</f>
        <v>0</v>
      </c>
      <c r="T53" s="268">
        <v>3.1</v>
      </c>
      <c r="U53" s="266">
        <f>Budget!B136*Valeurs!T53</f>
        <v>0</v>
      </c>
      <c r="V53" s="267">
        <f>Budget!G136*Valeurs!T53</f>
        <v>0</v>
      </c>
    </row>
    <row r="54" spans="1:23">
      <c r="A54" s="265" t="s">
        <v>182</v>
      </c>
      <c r="B54" s="266">
        <v>4.34</v>
      </c>
      <c r="C54" s="266">
        <f>Budget!B137*Valeurs!B54</f>
        <v>0</v>
      </c>
      <c r="D54" s="267">
        <f>Budget!G137*Valeurs!B54</f>
        <v>0</v>
      </c>
      <c r="E54" s="268">
        <v>1.93</v>
      </c>
      <c r="F54" s="266">
        <f>Budget!B137*Valeurs!E54</f>
        <v>0</v>
      </c>
      <c r="G54" s="267">
        <f>Budget!G137*Valeurs!E54</f>
        <v>0</v>
      </c>
      <c r="H54" s="268"/>
      <c r="I54" s="266"/>
      <c r="J54" s="267"/>
      <c r="K54" s="268"/>
      <c r="L54" s="266"/>
      <c r="M54" s="267"/>
      <c r="N54" s="268">
        <v>0.48</v>
      </c>
      <c r="O54" s="266">
        <f>Budget!B137*Valeurs!N54</f>
        <v>0</v>
      </c>
      <c r="P54" s="267">
        <f>Budget!G137*Valeurs!N54</f>
        <v>0</v>
      </c>
      <c r="Q54" s="299">
        <v>14</v>
      </c>
      <c r="R54" s="43">
        <f>Budget!B137*Valeurs!Q54</f>
        <v>0</v>
      </c>
      <c r="S54" s="300">
        <f>Budget!G137*Valeurs!Q54</f>
        <v>0</v>
      </c>
      <c r="T54" s="268">
        <v>3.1</v>
      </c>
      <c r="U54" s="266">
        <f>Budget!B137*Valeurs!T54</f>
        <v>0</v>
      </c>
      <c r="V54" s="267">
        <f>Budget!G137*Valeurs!T54</f>
        <v>0</v>
      </c>
    </row>
    <row r="55" spans="1:23">
      <c r="A55" s="265" t="s">
        <v>183</v>
      </c>
      <c r="B55" s="266">
        <v>3.97</v>
      </c>
      <c r="C55" s="266">
        <f>Budget!B138*Valeurs!B55</f>
        <v>0</v>
      </c>
      <c r="D55" s="267">
        <f>Budget!G138*Valeurs!B55</f>
        <v>0</v>
      </c>
      <c r="E55" s="268">
        <v>12.39</v>
      </c>
      <c r="F55" s="266">
        <f>Budget!B138*Valeurs!E55</f>
        <v>0</v>
      </c>
      <c r="G55" s="267">
        <f>Budget!G138*Valeurs!E55</f>
        <v>0</v>
      </c>
      <c r="H55" s="268"/>
      <c r="I55" s="266"/>
      <c r="J55" s="267"/>
      <c r="K55" s="268">
        <v>14.53</v>
      </c>
      <c r="L55" s="266">
        <f>Budget!B138*Valeurs!K55</f>
        <v>0</v>
      </c>
      <c r="M55" s="267">
        <f>Budget!G138*Valeurs!K55</f>
        <v>0</v>
      </c>
      <c r="N55" s="268">
        <v>0.56000000000000005</v>
      </c>
      <c r="O55" s="266">
        <f>Budget!B138*Valeurs!N55</f>
        <v>0</v>
      </c>
      <c r="P55" s="267">
        <f>Budget!G138*Valeurs!N55</f>
        <v>0</v>
      </c>
      <c r="Q55" s="299">
        <v>2</v>
      </c>
      <c r="R55" s="43">
        <f>Budget!B138*Valeurs!Q55</f>
        <v>0</v>
      </c>
      <c r="S55" s="300">
        <f>Budget!G138*Valeurs!Q55</f>
        <v>0</v>
      </c>
      <c r="T55" s="268">
        <v>4.21</v>
      </c>
      <c r="U55" s="266">
        <f>Budget!B138*Valeurs!T55</f>
        <v>0</v>
      </c>
      <c r="V55" s="267">
        <f>Budget!G138*Valeurs!T55</f>
        <v>0</v>
      </c>
    </row>
    <row r="56" spans="1:23">
      <c r="A56" s="272" t="s">
        <v>185</v>
      </c>
      <c r="B56" s="266">
        <v>18.59</v>
      </c>
      <c r="C56" s="266">
        <f>Budget!B141*Valeurs!B56</f>
        <v>0</v>
      </c>
      <c r="D56" s="267">
        <f>Budget!G141*Valeurs!B56</f>
        <v>0</v>
      </c>
      <c r="E56" s="268">
        <v>12.15</v>
      </c>
      <c r="F56" s="266">
        <f>Budget!B141*Valeurs!E56</f>
        <v>0</v>
      </c>
      <c r="G56" s="267">
        <f>Budget!G141*Valeurs!E56</f>
        <v>0</v>
      </c>
      <c r="H56" s="268"/>
      <c r="I56" s="266"/>
      <c r="J56" s="267"/>
      <c r="K56" s="268">
        <v>28.51</v>
      </c>
      <c r="L56" s="266">
        <f>Budget!B141*Valeurs!K56</f>
        <v>0</v>
      </c>
      <c r="M56" s="267">
        <f>Budget!G141*Valeurs!K56</f>
        <v>0</v>
      </c>
      <c r="N56" s="268">
        <v>4.7699999999999996</v>
      </c>
      <c r="O56" s="266">
        <f>Budget!B141*Valeurs!N56</f>
        <v>0</v>
      </c>
      <c r="P56" s="267">
        <f>Budget!G141*Valeurs!N56</f>
        <v>0</v>
      </c>
      <c r="Q56" s="299">
        <v>25</v>
      </c>
      <c r="R56" s="43">
        <f>Budget!B141*Valeurs!Q56</f>
        <v>0</v>
      </c>
      <c r="S56" s="300">
        <f>Budget!G141*Valeurs!Q56</f>
        <v>0</v>
      </c>
      <c r="T56" s="268">
        <v>5.45</v>
      </c>
      <c r="U56" s="266">
        <f>Budget!B141*Valeurs!T56</f>
        <v>0</v>
      </c>
      <c r="V56" s="267">
        <f>Budget!G141*Valeurs!T56</f>
        <v>0</v>
      </c>
    </row>
    <row r="57" spans="1:23">
      <c r="A57" s="265" t="s">
        <v>187</v>
      </c>
      <c r="B57" s="266"/>
      <c r="C57" s="266"/>
      <c r="D57" s="267"/>
      <c r="E57" s="268"/>
      <c r="F57" s="266"/>
      <c r="G57" s="267"/>
      <c r="H57" s="268"/>
      <c r="I57" s="266"/>
      <c r="J57" s="267"/>
      <c r="K57" s="268"/>
      <c r="L57" s="266"/>
      <c r="M57" s="267"/>
      <c r="N57" s="268"/>
      <c r="O57" s="266"/>
      <c r="P57" s="267"/>
      <c r="Q57" s="299"/>
      <c r="R57" s="43"/>
      <c r="S57" s="300"/>
      <c r="T57" s="268"/>
      <c r="U57" s="266"/>
      <c r="V57" s="267"/>
    </row>
    <row r="58" spans="1:23">
      <c r="A58" s="265" t="s">
        <v>188</v>
      </c>
      <c r="B58" s="266"/>
      <c r="C58" s="266"/>
      <c r="D58" s="267"/>
      <c r="E58" s="268"/>
      <c r="F58" s="266"/>
      <c r="G58" s="267"/>
      <c r="H58" s="268"/>
      <c r="I58" s="266"/>
      <c r="J58" s="267"/>
      <c r="K58" s="268"/>
      <c r="L58" s="266"/>
      <c r="M58" s="267"/>
      <c r="N58" s="268"/>
      <c r="O58" s="266"/>
      <c r="P58" s="267"/>
      <c r="Q58" s="87"/>
      <c r="R58" s="43"/>
      <c r="S58" s="300"/>
      <c r="T58" s="268"/>
      <c r="U58" s="266"/>
      <c r="V58" s="267"/>
    </row>
    <row r="59" spans="1:23">
      <c r="A59" s="265" t="s">
        <v>190</v>
      </c>
      <c r="B59" s="266">
        <v>2.42</v>
      </c>
      <c r="C59" s="266">
        <f>Budget!B148*Valeurs!B59</f>
        <v>0</v>
      </c>
      <c r="D59" s="267">
        <f>Budget!G148*Valeurs!B59</f>
        <v>0</v>
      </c>
      <c r="E59" s="268">
        <v>0.79</v>
      </c>
      <c r="F59" s="266">
        <f>Budget!B148*Valeurs!E59</f>
        <v>0</v>
      </c>
      <c r="G59" s="267">
        <f>Budget!G148*Valeurs!E59</f>
        <v>0</v>
      </c>
      <c r="H59" s="268">
        <v>2.48</v>
      </c>
      <c r="I59" s="266">
        <f>Budget!B148*Valeurs!H59</f>
        <v>0</v>
      </c>
      <c r="J59" s="267">
        <f>Budget!G148*Valeurs!H59</f>
        <v>0</v>
      </c>
      <c r="K59" s="268"/>
      <c r="L59" s="266"/>
      <c r="M59" s="267"/>
      <c r="N59" s="268">
        <v>0.52</v>
      </c>
      <c r="O59" s="266">
        <f>Budget!B148*Valeurs!N59</f>
        <v>0</v>
      </c>
      <c r="P59" s="267">
        <f>Budget!G148*Valeurs!N59</f>
        <v>0</v>
      </c>
      <c r="Q59" s="87">
        <v>0.2</v>
      </c>
      <c r="R59" s="43">
        <f>Budget!B148*Valeurs!Q59</f>
        <v>0</v>
      </c>
      <c r="S59" s="300">
        <f>Budget!G148*Valeurs!Q59</f>
        <v>0</v>
      </c>
      <c r="T59" s="268">
        <v>1.04</v>
      </c>
      <c r="U59" s="266">
        <f>Budget!B148*Valeurs!T59</f>
        <v>0</v>
      </c>
      <c r="V59" s="267">
        <f>Budget!G148*Valeurs!T59</f>
        <v>0</v>
      </c>
    </row>
    <row r="60" spans="1:23">
      <c r="A60" s="265" t="s">
        <v>191</v>
      </c>
      <c r="B60" s="266">
        <v>2.97</v>
      </c>
      <c r="C60" s="266">
        <f>Budget!B149*Valeurs!B60</f>
        <v>0</v>
      </c>
      <c r="D60" s="267">
        <f>Budget!G149*Valeurs!B60</f>
        <v>0</v>
      </c>
      <c r="E60" s="268">
        <v>1.24</v>
      </c>
      <c r="F60" s="266">
        <f>Budget!B149*Valeurs!E60</f>
        <v>0</v>
      </c>
      <c r="G60" s="267">
        <f>Budget!G149*Valeurs!E60</f>
        <v>0</v>
      </c>
      <c r="H60" s="268">
        <v>0.69</v>
      </c>
      <c r="I60" s="266">
        <f>Budget!B149*Valeurs!H60</f>
        <v>0</v>
      </c>
      <c r="J60" s="267">
        <f>Budget!G149*Valeurs!H60</f>
        <v>0</v>
      </c>
      <c r="K60" s="268"/>
      <c r="L60" s="266"/>
      <c r="M60" s="267"/>
      <c r="N60" s="268">
        <v>0.52</v>
      </c>
      <c r="O60" s="266">
        <f>Budget!B149*Valeurs!N60</f>
        <v>0</v>
      </c>
      <c r="P60" s="267">
        <f>Budget!G149*Valeurs!N60</f>
        <v>0</v>
      </c>
      <c r="Q60" s="87">
        <v>0.2</v>
      </c>
      <c r="R60" s="43">
        <f>Budget!B149*Valeurs!Q60</f>
        <v>0</v>
      </c>
      <c r="S60" s="300">
        <f>Budget!G149*Valeurs!Q60</f>
        <v>0</v>
      </c>
      <c r="T60" s="268">
        <v>0.5</v>
      </c>
      <c r="U60" s="266">
        <f>Budget!B149*Valeurs!T60</f>
        <v>0</v>
      </c>
      <c r="V60" s="267">
        <f>Budget!G149*Valeurs!T60</f>
        <v>0</v>
      </c>
    </row>
    <row r="61" spans="1:23">
      <c r="A61" s="265" t="s">
        <v>192</v>
      </c>
      <c r="B61" s="266">
        <v>2.97</v>
      </c>
      <c r="C61" s="266">
        <f>Budget!B150*Valeurs!B61</f>
        <v>0</v>
      </c>
      <c r="D61" s="267">
        <f>Budget!G150*Valeurs!B61</f>
        <v>0</v>
      </c>
      <c r="E61" s="268">
        <v>6.2</v>
      </c>
      <c r="F61" s="266">
        <f>Budget!B150*Valeurs!E61</f>
        <v>0</v>
      </c>
      <c r="G61" s="267">
        <f>Budget!G150*Valeurs!E61</f>
        <v>0</v>
      </c>
      <c r="H61" s="268">
        <v>3.72</v>
      </c>
      <c r="I61" s="266">
        <f>Budget!B150*Valeurs!H61</f>
        <v>0</v>
      </c>
      <c r="J61" s="267">
        <f>Budget!G150*Valeurs!H61</f>
        <v>0</v>
      </c>
      <c r="K61" s="268"/>
      <c r="L61" s="266"/>
      <c r="M61" s="267"/>
      <c r="N61" s="268">
        <v>0.52</v>
      </c>
      <c r="O61" s="266">
        <f>Budget!B150*Valeurs!N61</f>
        <v>0</v>
      </c>
      <c r="P61" s="267">
        <f>Budget!G150*Valeurs!N61</f>
        <v>0</v>
      </c>
      <c r="Q61" s="299">
        <v>0.3</v>
      </c>
      <c r="R61" s="43">
        <f>Budget!B150*Valeurs!Q61</f>
        <v>0</v>
      </c>
      <c r="S61" s="300">
        <f>Budget!G150*Valeurs!Q61</f>
        <v>0</v>
      </c>
      <c r="T61" s="268">
        <v>2.08</v>
      </c>
      <c r="U61" s="266">
        <f>Budget!B150*Valeurs!T61</f>
        <v>0</v>
      </c>
      <c r="V61" s="267">
        <f>Budget!G150*Valeurs!T61</f>
        <v>0</v>
      </c>
    </row>
    <row r="62" spans="1:23">
      <c r="A62" s="265" t="s">
        <v>193</v>
      </c>
      <c r="B62" s="266">
        <v>2.97</v>
      </c>
      <c r="C62" s="266">
        <f>Budget!B151*Valeurs!B62</f>
        <v>0</v>
      </c>
      <c r="D62" s="267">
        <f>Budget!G151*Valeurs!B62</f>
        <v>0</v>
      </c>
      <c r="E62" s="268">
        <v>6.2</v>
      </c>
      <c r="F62" s="266">
        <f>Budget!B151*Valeurs!E62</f>
        <v>0</v>
      </c>
      <c r="G62" s="267">
        <f>Budget!G151*Valeurs!E62</f>
        <v>0</v>
      </c>
      <c r="H62" s="268">
        <v>3.72</v>
      </c>
      <c r="I62" s="266">
        <f>Budget!B151*Valeurs!H62</f>
        <v>0</v>
      </c>
      <c r="J62" s="267">
        <f>Budget!G151*Valeurs!H62</f>
        <v>0</v>
      </c>
      <c r="K62" s="268"/>
      <c r="L62" s="266"/>
      <c r="M62" s="267"/>
      <c r="N62" s="268">
        <v>0.52</v>
      </c>
      <c r="O62" s="266">
        <f>Budget!B151*Valeurs!N62</f>
        <v>0</v>
      </c>
      <c r="P62" s="267">
        <f>Budget!G151*Valeurs!N62</f>
        <v>0</v>
      </c>
      <c r="Q62" s="299">
        <v>0.3</v>
      </c>
      <c r="R62" s="43">
        <f>Budget!B151*Valeurs!Q62</f>
        <v>0</v>
      </c>
      <c r="S62" s="300">
        <f>Budget!G151*Valeurs!Q62</f>
        <v>0</v>
      </c>
      <c r="T62" s="268">
        <v>2.97</v>
      </c>
      <c r="U62" s="266">
        <f>Budget!B151*Valeurs!T62</f>
        <v>0</v>
      </c>
      <c r="V62" s="267">
        <f>Budget!G151*Valeurs!T62</f>
        <v>0</v>
      </c>
    </row>
    <row r="63" spans="1:23">
      <c r="A63" s="265" t="s">
        <v>194</v>
      </c>
      <c r="B63" s="266">
        <v>3.47</v>
      </c>
      <c r="C63" s="266">
        <f>Budget!B152*Valeurs!B63</f>
        <v>0</v>
      </c>
      <c r="D63" s="267">
        <f>Budget!G152*Valeurs!B63</f>
        <v>0</v>
      </c>
      <c r="E63" s="268">
        <v>5.21</v>
      </c>
      <c r="F63" s="266">
        <f>Budget!B152*Valeurs!E63</f>
        <v>0</v>
      </c>
      <c r="G63" s="267">
        <f>Budget!G152*Valeurs!E63</f>
        <v>0</v>
      </c>
      <c r="H63" s="268">
        <v>3.72</v>
      </c>
      <c r="I63" s="266">
        <f>Budget!B152*Valeurs!H63</f>
        <v>0</v>
      </c>
      <c r="J63" s="267">
        <f>Budget!G152*Valeurs!H63</f>
        <v>0</v>
      </c>
      <c r="K63" s="268"/>
      <c r="L63" s="266"/>
      <c r="M63" s="267"/>
      <c r="N63" s="268">
        <v>0.52</v>
      </c>
      <c r="O63" s="266">
        <f>Budget!B152*Valeurs!N63</f>
        <v>0</v>
      </c>
      <c r="P63" s="267">
        <f>Budget!G152*Valeurs!N63</f>
        <v>0</v>
      </c>
      <c r="Q63" s="299">
        <v>0.3</v>
      </c>
      <c r="R63" s="43">
        <f>Budget!B152*Valeurs!Q63</f>
        <v>0</v>
      </c>
      <c r="S63" s="300">
        <f>Budget!G152*Valeurs!Q63</f>
        <v>0</v>
      </c>
      <c r="T63" s="268">
        <v>1.49</v>
      </c>
      <c r="U63" s="266">
        <f>Budget!B152*Valeurs!T63</f>
        <v>0</v>
      </c>
      <c r="V63" s="267">
        <f>Budget!G152*Valeurs!T63</f>
        <v>0</v>
      </c>
    </row>
    <row r="64" spans="1:23">
      <c r="A64" s="265" t="s">
        <v>195</v>
      </c>
      <c r="B64" s="266">
        <v>0.74</v>
      </c>
      <c r="C64" s="266">
        <f>Budget!B153*Valeurs!B64</f>
        <v>0</v>
      </c>
      <c r="D64" s="267">
        <f>Budget!G153*Valeurs!B64</f>
        <v>0</v>
      </c>
      <c r="E64" s="268">
        <v>4.96</v>
      </c>
      <c r="F64" s="266">
        <f>Budget!B153*Valeurs!E64</f>
        <v>0</v>
      </c>
      <c r="G64" s="267">
        <f>Budget!G153*Valeurs!E64</f>
        <v>0</v>
      </c>
      <c r="H64" s="268"/>
      <c r="I64" s="266"/>
      <c r="J64" s="267"/>
      <c r="K64" s="268">
        <v>0.5</v>
      </c>
      <c r="L64" s="266">
        <f>Budget!B153*Valeurs!K64</f>
        <v>0</v>
      </c>
      <c r="M64" s="267">
        <f>Budget!G153*Valeurs!K64</f>
        <v>0</v>
      </c>
      <c r="N64" s="268">
        <v>2.95</v>
      </c>
      <c r="O64" s="266">
        <f>Budget!B153*Valeurs!N64</f>
        <v>0</v>
      </c>
      <c r="P64" s="267">
        <f>Budget!G153*Valeurs!N64</f>
        <v>0</v>
      </c>
      <c r="Q64" s="299">
        <v>1.8</v>
      </c>
      <c r="R64" s="43">
        <f>Budget!B153*Valeurs!Q64</f>
        <v>0</v>
      </c>
      <c r="S64" s="300">
        <f>Budget!G153*Valeurs!Q64</f>
        <v>0</v>
      </c>
      <c r="T64" s="268">
        <v>2.23</v>
      </c>
      <c r="U64" s="266">
        <f>Budget!B153*Valeurs!T64</f>
        <v>0</v>
      </c>
      <c r="V64" s="267">
        <f>Budget!G153*Valeurs!T64</f>
        <v>0</v>
      </c>
    </row>
    <row r="65" spans="1:22">
      <c r="A65" s="265" t="s">
        <v>196</v>
      </c>
      <c r="B65" s="266">
        <v>0.74</v>
      </c>
      <c r="C65" s="266">
        <f>Budget!B154*Valeurs!B65</f>
        <v>0</v>
      </c>
      <c r="D65" s="267">
        <f>Budget!G154*Valeurs!B65</f>
        <v>0</v>
      </c>
      <c r="E65" s="268">
        <v>4.96</v>
      </c>
      <c r="F65" s="266">
        <f>Budget!B154*Valeurs!E65</f>
        <v>0</v>
      </c>
      <c r="G65" s="267">
        <f>Budget!G154*Valeurs!E65</f>
        <v>0</v>
      </c>
      <c r="H65" s="268"/>
      <c r="I65" s="266"/>
      <c r="J65" s="267"/>
      <c r="K65" s="268">
        <v>0.5</v>
      </c>
      <c r="L65" s="266">
        <f>Budget!B154*Valeurs!K65</f>
        <v>0</v>
      </c>
      <c r="M65" s="267">
        <f>Budget!G154*Valeurs!K65</f>
        <v>0</v>
      </c>
      <c r="N65" s="268">
        <v>1.19</v>
      </c>
      <c r="O65" s="266">
        <f>Budget!B154*Valeurs!N65</f>
        <v>0</v>
      </c>
      <c r="P65" s="267">
        <f>Budget!G154*Valeurs!N65</f>
        <v>0</v>
      </c>
      <c r="Q65" s="299">
        <v>1</v>
      </c>
      <c r="R65" s="43">
        <f>Budget!B154*Valeurs!Q65</f>
        <v>0</v>
      </c>
      <c r="S65" s="300">
        <f>Budget!G154*Valeurs!Q65</f>
        <v>0</v>
      </c>
      <c r="T65" s="268">
        <v>2.23</v>
      </c>
      <c r="U65" s="266">
        <f>Budget!B154*Valeurs!T65</f>
        <v>0</v>
      </c>
      <c r="V65" s="267">
        <f>Budget!G154*Valeurs!T65</f>
        <v>0</v>
      </c>
    </row>
    <row r="66" spans="1:22">
      <c r="A66" s="265" t="s">
        <v>197</v>
      </c>
      <c r="B66" s="266">
        <v>0.74</v>
      </c>
      <c r="C66" s="266">
        <f>Budget!B155*Valeurs!B66</f>
        <v>0</v>
      </c>
      <c r="D66" s="267">
        <f>Budget!G155*Valeurs!B66</f>
        <v>0</v>
      </c>
      <c r="E66" s="268">
        <v>4.96</v>
      </c>
      <c r="F66" s="266">
        <f>Budget!B155*Valeurs!E66</f>
        <v>0</v>
      </c>
      <c r="G66" s="267">
        <f>Budget!G155*Valeurs!E66</f>
        <v>0</v>
      </c>
      <c r="H66" s="268"/>
      <c r="I66" s="266"/>
      <c r="J66" s="267"/>
      <c r="K66" s="268">
        <v>0.5</v>
      </c>
      <c r="L66" s="266">
        <f>Budget!B155*Valeurs!K66</f>
        <v>0</v>
      </c>
      <c r="M66" s="267">
        <f>Budget!G155*Valeurs!K66</f>
        <v>0</v>
      </c>
      <c r="N66" s="268">
        <v>1.19</v>
      </c>
      <c r="O66" s="266">
        <f>Budget!B155*Valeurs!N66</f>
        <v>0</v>
      </c>
      <c r="P66" s="267">
        <f>Budget!G155*Valeurs!N66</f>
        <v>0</v>
      </c>
      <c r="Q66" s="299">
        <v>1.8</v>
      </c>
      <c r="R66" s="43">
        <f>Budget!B155*Valeurs!Q66</f>
        <v>0</v>
      </c>
      <c r="S66" s="300">
        <f>Budget!G155*Valeurs!Q66</f>
        <v>0</v>
      </c>
      <c r="T66" s="268">
        <v>2.23</v>
      </c>
      <c r="U66" s="266">
        <f>Budget!B155*Valeurs!T66</f>
        <v>0</v>
      </c>
      <c r="V66" s="267">
        <f>Budget!G155*Valeurs!T66</f>
        <v>0</v>
      </c>
    </row>
    <row r="67" spans="1:22">
      <c r="A67" s="265" t="s">
        <v>198</v>
      </c>
      <c r="B67" s="266">
        <v>1.98</v>
      </c>
      <c r="C67" s="266">
        <f>Budget!B156*Valeurs!B67</f>
        <v>0</v>
      </c>
      <c r="D67" s="267">
        <f>Budget!G156*Valeurs!B67</f>
        <v>0</v>
      </c>
      <c r="E67" s="268">
        <v>0.2</v>
      </c>
      <c r="F67" s="266">
        <f>Budget!B156*Valeurs!E67</f>
        <v>0</v>
      </c>
      <c r="G67" s="267">
        <f>Budget!G156*Valeurs!E67</f>
        <v>0</v>
      </c>
      <c r="H67" s="268">
        <v>2.73</v>
      </c>
      <c r="I67" s="266">
        <f>Budget!B156*Valeurs!H67</f>
        <v>0</v>
      </c>
      <c r="J67" s="267">
        <f>Budget!G156*Valeurs!H67</f>
        <v>0</v>
      </c>
      <c r="K67" s="268"/>
      <c r="L67" s="266"/>
      <c r="M67" s="267"/>
      <c r="N67" s="268">
        <v>0.52</v>
      </c>
      <c r="O67" s="266">
        <f>Budget!B156*Valeurs!N67</f>
        <v>0</v>
      </c>
      <c r="P67" s="267">
        <f>Budget!G156*Valeurs!N67</f>
        <v>0</v>
      </c>
      <c r="Q67" s="299">
        <v>0.2</v>
      </c>
      <c r="R67" s="43">
        <f>Budget!B156*Valeurs!Q67</f>
        <v>0</v>
      </c>
      <c r="S67" s="300">
        <f>Budget!G156*Valeurs!Q67</f>
        <v>0</v>
      </c>
      <c r="T67" s="268">
        <v>0.82</v>
      </c>
      <c r="U67" s="266">
        <f>Budget!B156*Valeurs!T67</f>
        <v>0</v>
      </c>
      <c r="V67" s="267">
        <f>Budget!G156*Valeurs!T67</f>
        <v>0</v>
      </c>
    </row>
    <row r="68" spans="1:22">
      <c r="A68" s="265" t="s">
        <v>199</v>
      </c>
      <c r="B68" s="266">
        <v>1.98</v>
      </c>
      <c r="C68" s="266">
        <f>Budget!B157*Valeurs!B68</f>
        <v>0</v>
      </c>
      <c r="D68" s="267">
        <f>Budget!G157*Valeurs!B68</f>
        <v>0</v>
      </c>
      <c r="E68" s="268">
        <v>0.2</v>
      </c>
      <c r="F68" s="266">
        <f>Budget!B157*Valeurs!E68</f>
        <v>0</v>
      </c>
      <c r="G68" s="267">
        <f>Budget!G157*Valeurs!E68</f>
        <v>0</v>
      </c>
      <c r="H68" s="268">
        <v>2.73</v>
      </c>
      <c r="I68" s="266">
        <f>Budget!B157*Valeurs!H68</f>
        <v>0</v>
      </c>
      <c r="J68" s="267">
        <f>Budget!G157*Valeurs!H68</f>
        <v>0</v>
      </c>
      <c r="K68" s="268"/>
      <c r="L68" s="266"/>
      <c r="M68" s="267"/>
      <c r="N68" s="268">
        <v>0.52</v>
      </c>
      <c r="O68" s="266">
        <f>Budget!B157*Valeurs!N68</f>
        <v>0</v>
      </c>
      <c r="P68" s="267">
        <f>Budget!G157*Valeurs!N68</f>
        <v>0</v>
      </c>
      <c r="Q68" s="299">
        <v>0.2</v>
      </c>
      <c r="R68" s="43">
        <f>Budget!B157*Valeurs!Q68</f>
        <v>0</v>
      </c>
      <c r="S68" s="300">
        <f>Budget!G157*Valeurs!Q68</f>
        <v>0</v>
      </c>
      <c r="T68" s="268">
        <v>0.82</v>
      </c>
      <c r="U68" s="266">
        <f>Budget!B157*Valeurs!T68</f>
        <v>0</v>
      </c>
      <c r="V68" s="267">
        <f>Budget!G157*Valeurs!T68</f>
        <v>0</v>
      </c>
    </row>
    <row r="69" spans="1:22">
      <c r="A69" s="265" t="s">
        <v>200</v>
      </c>
      <c r="B69" s="266">
        <v>3.72</v>
      </c>
      <c r="C69" s="266">
        <f>Budget!B158*Valeurs!B69</f>
        <v>0</v>
      </c>
      <c r="D69" s="267">
        <f>Budget!G158*Valeurs!B69</f>
        <v>0</v>
      </c>
      <c r="E69" s="268">
        <v>3.72</v>
      </c>
      <c r="F69" s="266">
        <f>Budget!B158*Valeurs!E69</f>
        <v>0</v>
      </c>
      <c r="G69" s="267">
        <f>Budget!G158*Valeurs!E69</f>
        <v>0</v>
      </c>
      <c r="H69" s="268"/>
      <c r="I69" s="266"/>
      <c r="J69" s="267"/>
      <c r="K69" s="268"/>
      <c r="L69" s="266"/>
      <c r="M69" s="267"/>
      <c r="N69" s="268">
        <v>0.52</v>
      </c>
      <c r="O69" s="266">
        <f>Budget!B158*Valeurs!N69</f>
        <v>0</v>
      </c>
      <c r="P69" s="267">
        <f>Budget!G158*Valeurs!N69</f>
        <v>0</v>
      </c>
      <c r="Q69" s="299">
        <v>0.55000000000000004</v>
      </c>
      <c r="R69" s="43">
        <f>Budget!B158*Valeurs!Q69</f>
        <v>0</v>
      </c>
      <c r="S69" s="300">
        <f>Budget!G158*Valeurs!Q69</f>
        <v>0</v>
      </c>
      <c r="T69" s="268">
        <v>2.23</v>
      </c>
      <c r="U69" s="266">
        <f>Budget!B158*Valeurs!T69</f>
        <v>0</v>
      </c>
      <c r="V69" s="267">
        <f>Budget!G158*Valeurs!T69</f>
        <v>0</v>
      </c>
    </row>
    <row r="70" spans="1:22">
      <c r="A70" s="265" t="s">
        <v>201</v>
      </c>
      <c r="B70" s="266">
        <v>5.7</v>
      </c>
      <c r="C70" s="266">
        <f>Budget!B159*Valeurs!B70</f>
        <v>0</v>
      </c>
      <c r="D70" s="267">
        <f>Budget!G159*Valeurs!B70</f>
        <v>0</v>
      </c>
      <c r="E70" s="268">
        <v>3.72</v>
      </c>
      <c r="F70" s="266">
        <f>Budget!B159*Valeurs!E70</f>
        <v>0</v>
      </c>
      <c r="G70" s="267">
        <f>Budget!G159*Valeurs!E70</f>
        <v>0</v>
      </c>
      <c r="H70" s="268"/>
      <c r="I70" s="266"/>
      <c r="J70" s="267"/>
      <c r="K70" s="268"/>
      <c r="L70" s="266"/>
      <c r="M70" s="267"/>
      <c r="N70" s="268">
        <v>0.74</v>
      </c>
      <c r="O70" s="266">
        <f>Budget!B159*Valeurs!N70</f>
        <v>0</v>
      </c>
      <c r="P70" s="267">
        <f>Budget!G159*Valeurs!N70</f>
        <v>0</v>
      </c>
      <c r="Q70" s="299">
        <v>0.55000000000000004</v>
      </c>
      <c r="R70" s="43">
        <f>Budget!B159*Valeurs!Q70</f>
        <v>0</v>
      </c>
      <c r="S70" s="300">
        <f>Budget!G159*Valeurs!Q70</f>
        <v>0</v>
      </c>
      <c r="T70" s="268">
        <v>2.23</v>
      </c>
      <c r="U70" s="266">
        <f>Budget!B159*Valeurs!T70</f>
        <v>0</v>
      </c>
      <c r="V70" s="267">
        <f>Budget!G159*Valeurs!T70</f>
        <v>0</v>
      </c>
    </row>
    <row r="71" spans="1:22">
      <c r="A71" s="265" t="s">
        <v>202</v>
      </c>
      <c r="B71" s="266">
        <v>6.2</v>
      </c>
      <c r="C71" s="266">
        <f>Budget!B160*Valeurs!B71</f>
        <v>0</v>
      </c>
      <c r="D71" s="267">
        <f>Budget!G160*Valeurs!B71</f>
        <v>0</v>
      </c>
      <c r="E71" s="268">
        <v>3.77</v>
      </c>
      <c r="F71" s="266">
        <f>Budget!B160*Valeurs!E71</f>
        <v>0</v>
      </c>
      <c r="G71" s="267">
        <f>Budget!G160*Valeurs!E71</f>
        <v>0</v>
      </c>
      <c r="H71" s="268">
        <v>3.45</v>
      </c>
      <c r="I71" s="266">
        <f>Budget!B160*Valeurs!H71</f>
        <v>0</v>
      </c>
      <c r="J71" s="267">
        <f>Budget!G160*Valeurs!H71</f>
        <v>0</v>
      </c>
      <c r="K71" s="268">
        <v>5.45</v>
      </c>
      <c r="L71" s="266">
        <f>Budget!B160*Valeurs!K71</f>
        <v>0</v>
      </c>
      <c r="M71" s="267">
        <f>Budget!G160*Valeurs!K71</f>
        <v>0</v>
      </c>
      <c r="N71" s="268">
        <v>0.89</v>
      </c>
      <c r="O71" s="266">
        <f>Budget!B160*Valeurs!N71</f>
        <v>0</v>
      </c>
      <c r="P71" s="267">
        <f>Budget!G160*Valeurs!N71</f>
        <v>0</v>
      </c>
      <c r="Q71" s="299">
        <v>0.65</v>
      </c>
      <c r="R71" s="43">
        <f>Budget!B160*Valeurs!Q71</f>
        <v>0</v>
      </c>
      <c r="S71" s="300">
        <f>Budget!G160*Valeurs!Q71</f>
        <v>0</v>
      </c>
      <c r="T71" s="268">
        <v>1.98</v>
      </c>
      <c r="U71" s="266">
        <f>Budget!B160*Valeurs!T71</f>
        <v>0</v>
      </c>
      <c r="V71" s="267">
        <f>Budget!G160*Valeurs!T71</f>
        <v>0</v>
      </c>
    </row>
    <row r="72" spans="1:22">
      <c r="A72" s="265" t="s">
        <v>203</v>
      </c>
      <c r="B72" s="266">
        <v>3.72</v>
      </c>
      <c r="C72" s="266">
        <f>Budget!B161*Valeurs!B72</f>
        <v>0</v>
      </c>
      <c r="D72" s="267">
        <f>Budget!G161*Valeurs!B72</f>
        <v>0</v>
      </c>
      <c r="E72" s="268">
        <v>3.72</v>
      </c>
      <c r="F72" s="266">
        <f>Budget!B161*Valeurs!E72</f>
        <v>0</v>
      </c>
      <c r="G72" s="267">
        <f>Budget!G161*Valeurs!E72</f>
        <v>0</v>
      </c>
      <c r="H72" s="268">
        <v>4.21</v>
      </c>
      <c r="I72" s="266">
        <f>Budget!B161*Valeurs!H72</f>
        <v>0</v>
      </c>
      <c r="J72" s="267">
        <f>Budget!G161*Valeurs!H72</f>
        <v>0</v>
      </c>
      <c r="K72" s="268"/>
      <c r="L72" s="266"/>
      <c r="M72" s="267"/>
      <c r="N72" s="268">
        <v>0.52</v>
      </c>
      <c r="O72" s="266">
        <f>Budget!B161*Valeurs!N72</f>
        <v>0</v>
      </c>
      <c r="P72" s="267">
        <f>Budget!G161*Valeurs!N72</f>
        <v>0</v>
      </c>
      <c r="Q72" s="299">
        <v>3</v>
      </c>
      <c r="R72" s="43">
        <f>Budget!B161*Valeurs!Q72</f>
        <v>0</v>
      </c>
      <c r="S72" s="300">
        <f>Budget!G161*Valeurs!Q72</f>
        <v>0</v>
      </c>
      <c r="T72" s="268">
        <v>1.74</v>
      </c>
      <c r="U72" s="266">
        <f>Budget!B161*Valeurs!T72</f>
        <v>0</v>
      </c>
      <c r="V72" s="267">
        <f>Budget!G161*Valeurs!T72</f>
        <v>0</v>
      </c>
    </row>
    <row r="73" spans="1:22">
      <c r="A73" s="265" t="s">
        <v>204</v>
      </c>
      <c r="B73" s="266">
        <v>3.72</v>
      </c>
      <c r="C73" s="266">
        <f>Budget!B162*Valeurs!B73</f>
        <v>0</v>
      </c>
      <c r="D73" s="267">
        <f>Budget!G162*Valeurs!B73</f>
        <v>0</v>
      </c>
      <c r="E73" s="268">
        <v>6.2</v>
      </c>
      <c r="F73" s="266">
        <f>Budget!B162*Valeurs!E73</f>
        <v>0</v>
      </c>
      <c r="G73" s="267">
        <f>Budget!G162*Valeurs!E73</f>
        <v>0</v>
      </c>
      <c r="H73" s="268">
        <v>4.21</v>
      </c>
      <c r="I73" s="266">
        <f>Budget!B162*Valeurs!H73</f>
        <v>0</v>
      </c>
      <c r="J73" s="267">
        <f>Budget!G162*Valeurs!H73</f>
        <v>0</v>
      </c>
      <c r="K73" s="268">
        <v>7.44</v>
      </c>
      <c r="L73" s="266">
        <f>Budget!B162*Valeurs!K73</f>
        <v>0</v>
      </c>
      <c r="M73" s="267">
        <f>Budget!G162*Valeurs!K73</f>
        <v>0</v>
      </c>
      <c r="N73" s="268">
        <v>0.52</v>
      </c>
      <c r="O73" s="266">
        <f>Budget!B162*Valeurs!N73</f>
        <v>0</v>
      </c>
      <c r="P73" s="267">
        <f>Budget!G162*Valeurs!N73</f>
        <v>0</v>
      </c>
      <c r="Q73" s="299">
        <v>13</v>
      </c>
      <c r="R73" s="43">
        <f>Budget!B162*Valeurs!Q73</f>
        <v>0</v>
      </c>
      <c r="S73" s="300">
        <f>Budget!G162*Valeurs!Q73</f>
        <v>0</v>
      </c>
      <c r="T73" s="268">
        <v>4.96</v>
      </c>
      <c r="U73" s="266">
        <f>Budget!B162*Valeurs!T73</f>
        <v>0</v>
      </c>
      <c r="V73" s="267">
        <f>Budget!G162*Valeurs!T73</f>
        <v>0</v>
      </c>
    </row>
    <row r="74" spans="1:22">
      <c r="A74" s="265" t="s">
        <v>205</v>
      </c>
      <c r="B74" s="266">
        <v>19.579999999999998</v>
      </c>
      <c r="C74" s="266">
        <f>Budget!B163*Valeurs!B74</f>
        <v>0</v>
      </c>
      <c r="D74" s="267">
        <f>Budget!G163*Valeurs!B74</f>
        <v>0</v>
      </c>
      <c r="E74" s="268">
        <v>1.49</v>
      </c>
      <c r="F74" s="266">
        <f>Budget!B163*Valeurs!E74</f>
        <v>0</v>
      </c>
      <c r="G74" s="267">
        <f>Budget!G163*Valeurs!E74</f>
        <v>0</v>
      </c>
      <c r="H74" s="268"/>
      <c r="I74" s="266"/>
      <c r="J74" s="267"/>
      <c r="K74" s="268">
        <v>19.829999999999998</v>
      </c>
      <c r="L74" s="266">
        <f>Budget!B163*Valeurs!K74</f>
        <v>0</v>
      </c>
      <c r="M74" s="267">
        <f>Budget!G163*Valeurs!K74</f>
        <v>0</v>
      </c>
      <c r="N74" s="268">
        <v>2.95</v>
      </c>
      <c r="O74" s="266">
        <f>Budget!B163*Valeurs!N74</f>
        <v>0</v>
      </c>
      <c r="P74" s="267">
        <f>Budget!G163*Valeurs!N74</f>
        <v>0</v>
      </c>
      <c r="Q74" s="299">
        <v>7</v>
      </c>
      <c r="R74" s="43">
        <f>Budget!B163*Valeurs!Q74</f>
        <v>0</v>
      </c>
      <c r="S74" s="300">
        <f>Budget!G163*Valeurs!Q74</f>
        <v>0</v>
      </c>
      <c r="T74" s="268">
        <v>1.78</v>
      </c>
      <c r="U74" s="266">
        <f>Budget!B163*Valeurs!T74</f>
        <v>0</v>
      </c>
      <c r="V74" s="267">
        <f>Budget!G163*Valeurs!T74</f>
        <v>0</v>
      </c>
    </row>
    <row r="75" spans="1:22">
      <c r="A75" s="265" t="s">
        <v>206</v>
      </c>
      <c r="B75" s="266">
        <v>24.79</v>
      </c>
      <c r="C75" s="266">
        <f>Budget!B164*Valeurs!B75</f>
        <v>0</v>
      </c>
      <c r="D75" s="267">
        <f>Budget!G164*Valeurs!B75</f>
        <v>0</v>
      </c>
      <c r="E75" s="268">
        <v>2.97</v>
      </c>
      <c r="F75" s="266">
        <f>Budget!B164*Valeurs!E75</f>
        <v>0</v>
      </c>
      <c r="G75" s="267">
        <f>Budget!G164*Valeurs!E75</f>
        <v>0</v>
      </c>
      <c r="H75" s="268"/>
      <c r="I75" s="266"/>
      <c r="J75" s="267"/>
      <c r="K75" s="268"/>
      <c r="L75" s="266"/>
      <c r="M75" s="267"/>
      <c r="N75" s="268">
        <v>0.52</v>
      </c>
      <c r="O75" s="266">
        <f>Budget!B164*Valeurs!N75</f>
        <v>0</v>
      </c>
      <c r="P75" s="267">
        <f>Budget!G164*Valeurs!N75</f>
        <v>0</v>
      </c>
      <c r="Q75" s="299">
        <v>2.2999999999999998</v>
      </c>
      <c r="R75" s="43">
        <f>Budget!B164*Valeurs!Q75</f>
        <v>0</v>
      </c>
      <c r="S75" s="300">
        <f>Budget!G164*Valeurs!Q75</f>
        <v>0</v>
      </c>
      <c r="T75" s="268">
        <v>1.98</v>
      </c>
      <c r="U75" s="266">
        <f>Budget!B164*Valeurs!T75</f>
        <v>0</v>
      </c>
      <c r="V75" s="267">
        <f>Budget!G164*Valeurs!T75</f>
        <v>0</v>
      </c>
    </row>
    <row r="76" spans="1:22">
      <c r="A76" s="265" t="s">
        <v>207</v>
      </c>
      <c r="B76" s="266">
        <v>0.87</v>
      </c>
      <c r="C76" s="266">
        <f>Budget!B165*Valeurs!B76</f>
        <v>0</v>
      </c>
      <c r="D76" s="267">
        <f>Budget!G165*Valeurs!B76</f>
        <v>0</v>
      </c>
      <c r="E76" s="268">
        <v>2.48</v>
      </c>
      <c r="F76" s="266">
        <f>Budget!B165*Valeurs!E76</f>
        <v>0</v>
      </c>
      <c r="G76" s="267">
        <f>Budget!G165*Valeurs!E76</f>
        <v>0</v>
      </c>
      <c r="H76" s="268"/>
      <c r="I76" s="266"/>
      <c r="J76" s="267"/>
      <c r="K76" s="268">
        <v>1.24</v>
      </c>
      <c r="L76" s="266">
        <f>Budget!B165*Valeurs!K76</f>
        <v>0</v>
      </c>
      <c r="M76" s="267">
        <f>Budget!G165*Valeurs!K76</f>
        <v>0</v>
      </c>
      <c r="N76" s="268">
        <v>0.52</v>
      </c>
      <c r="O76" s="266">
        <f>Budget!B165*Valeurs!N76</f>
        <v>0</v>
      </c>
      <c r="P76" s="267">
        <f>Budget!G165*Valeurs!N76</f>
        <v>0</v>
      </c>
      <c r="Q76" s="299">
        <v>3</v>
      </c>
      <c r="R76" s="43">
        <f>Budget!B165*Valeurs!Q76</f>
        <v>0</v>
      </c>
      <c r="S76" s="300">
        <f>Budget!G165*Valeurs!Q76</f>
        <v>0</v>
      </c>
      <c r="T76" s="268">
        <v>1.74</v>
      </c>
      <c r="U76" s="266">
        <f>Budget!B165*Valeurs!T76</f>
        <v>0</v>
      </c>
      <c r="V76" s="267">
        <f>Budget!G165*Valeurs!T76</f>
        <v>0</v>
      </c>
    </row>
    <row r="77" spans="1:22">
      <c r="A77" s="265" t="s">
        <v>208</v>
      </c>
      <c r="B77" s="266">
        <v>99.16</v>
      </c>
      <c r="C77" s="266">
        <f>Budget!B166*Valeurs!B77</f>
        <v>0</v>
      </c>
      <c r="D77" s="267">
        <f>Budget!G166*Valeurs!B77</f>
        <v>0</v>
      </c>
      <c r="E77" s="268">
        <v>2.73</v>
      </c>
      <c r="F77" s="266">
        <f>Budget!B166*Valeurs!E77</f>
        <v>0</v>
      </c>
      <c r="G77" s="267">
        <f>Budget!G166*Valeurs!E77</f>
        <v>0</v>
      </c>
      <c r="H77" s="268"/>
      <c r="I77" s="266"/>
      <c r="J77" s="267"/>
      <c r="K77" s="268">
        <v>1.24</v>
      </c>
      <c r="L77" s="266">
        <f>Budget!B166*Valeurs!K77</f>
        <v>0</v>
      </c>
      <c r="M77" s="267">
        <f>Budget!G166*Valeurs!K77</f>
        <v>0</v>
      </c>
      <c r="N77" s="268">
        <v>2.95</v>
      </c>
      <c r="O77" s="266">
        <f>Budget!B166*Valeurs!N77</f>
        <v>0</v>
      </c>
      <c r="P77" s="267">
        <f>Budget!G166*Valeurs!N77</f>
        <v>0</v>
      </c>
      <c r="Q77" s="299"/>
      <c r="R77" s="43">
        <f>Budget!B166*Valeurs!Q77</f>
        <v>0</v>
      </c>
      <c r="S77" s="300">
        <f>Budget!G166*Valeurs!Q77</f>
        <v>0</v>
      </c>
      <c r="T77" s="268">
        <v>1.98</v>
      </c>
      <c r="U77" s="266">
        <f>Budget!B166*Valeurs!T77</f>
        <v>0</v>
      </c>
      <c r="V77" s="267">
        <f>Budget!G166*Valeurs!T77</f>
        <v>0</v>
      </c>
    </row>
    <row r="78" spans="1:22">
      <c r="A78" s="265" t="s">
        <v>209</v>
      </c>
      <c r="B78" s="266">
        <v>29.75</v>
      </c>
      <c r="C78" s="266">
        <f>Budget!B167*Valeurs!B78</f>
        <v>0</v>
      </c>
      <c r="D78" s="267">
        <f>Budget!G167*Valeurs!B78</f>
        <v>0</v>
      </c>
      <c r="E78" s="268">
        <v>3.47</v>
      </c>
      <c r="F78" s="266">
        <f>Budget!B167*Valeurs!E78</f>
        <v>0</v>
      </c>
      <c r="G78" s="267">
        <f>Budget!G167*Valeurs!E78</f>
        <v>0</v>
      </c>
      <c r="H78" s="268"/>
      <c r="I78" s="266"/>
      <c r="J78" s="267"/>
      <c r="K78" s="268">
        <v>1.24</v>
      </c>
      <c r="L78" s="266">
        <f>Budget!B167*Valeurs!K78</f>
        <v>0</v>
      </c>
      <c r="M78" s="267">
        <f>Budget!G167*Valeurs!K78</f>
        <v>0</v>
      </c>
      <c r="N78" s="268">
        <v>2.95</v>
      </c>
      <c r="O78" s="266">
        <f>Budget!B167*Valeurs!N78</f>
        <v>0</v>
      </c>
      <c r="P78" s="267">
        <f>Budget!G167*Valeurs!N78</f>
        <v>0</v>
      </c>
      <c r="Q78" s="299"/>
      <c r="R78" s="43">
        <f>Budget!B167*Valeurs!Q78</f>
        <v>0</v>
      </c>
      <c r="S78" s="300">
        <f>Budget!G167*Valeurs!Q78</f>
        <v>0</v>
      </c>
      <c r="T78" s="268">
        <v>2.48</v>
      </c>
      <c r="U78" s="266">
        <f>Budget!B167*Valeurs!T78</f>
        <v>0</v>
      </c>
      <c r="V78" s="267">
        <f>Budget!G167*Valeurs!T78</f>
        <v>0</v>
      </c>
    </row>
    <row r="79" spans="1:22">
      <c r="A79" s="265" t="s">
        <v>210</v>
      </c>
      <c r="B79" s="266">
        <v>2.97</v>
      </c>
      <c r="C79" s="266">
        <f>Budget!B168*Valeurs!B79</f>
        <v>0</v>
      </c>
      <c r="D79" s="267">
        <f>Budget!G168*Valeurs!B79</f>
        <v>0</v>
      </c>
      <c r="E79" s="268">
        <v>1.98</v>
      </c>
      <c r="F79" s="266">
        <f>Budget!B168*Valeurs!E79</f>
        <v>0</v>
      </c>
      <c r="G79" s="267">
        <f>Budget!G168*Valeurs!E79</f>
        <v>0</v>
      </c>
      <c r="H79" s="268"/>
      <c r="I79" s="266"/>
      <c r="J79" s="267"/>
      <c r="K79" s="268">
        <v>3.72</v>
      </c>
      <c r="L79" s="266">
        <f>Budget!B168*Valeurs!K79</f>
        <v>0</v>
      </c>
      <c r="M79" s="267">
        <f>Budget!G168*Valeurs!K79</f>
        <v>0</v>
      </c>
      <c r="N79" s="268">
        <v>2.95</v>
      </c>
      <c r="O79" s="266">
        <f>Budget!B168*Valeurs!N79</f>
        <v>0</v>
      </c>
      <c r="P79" s="267">
        <f>Budget!G168*Valeurs!N79</f>
        <v>0</v>
      </c>
      <c r="Q79" s="299"/>
      <c r="R79" s="43">
        <f>Budget!B168*Valeurs!Q79</f>
        <v>0</v>
      </c>
      <c r="S79" s="300">
        <f>Budget!G168*Valeurs!Q79</f>
        <v>0</v>
      </c>
      <c r="T79" s="268">
        <v>1.24</v>
      </c>
      <c r="U79" s="266">
        <f>Budget!B168*Valeurs!T79</f>
        <v>0</v>
      </c>
      <c r="V79" s="267">
        <f>Budget!G168*Valeurs!T79</f>
        <v>0</v>
      </c>
    </row>
    <row r="80" spans="1:22">
      <c r="A80" s="265" t="s">
        <v>211</v>
      </c>
      <c r="B80" s="266">
        <v>34.71</v>
      </c>
      <c r="C80" s="266">
        <f>Budget!B169*Valeurs!B80</f>
        <v>0</v>
      </c>
      <c r="D80" s="267">
        <f>Budget!G169*Valeurs!B80</f>
        <v>0</v>
      </c>
      <c r="E80" s="268">
        <v>4.96</v>
      </c>
      <c r="F80" s="266">
        <f>Budget!B169*Valeurs!E80</f>
        <v>0</v>
      </c>
      <c r="G80" s="267">
        <f>Budget!G169*Valeurs!E80</f>
        <v>0</v>
      </c>
      <c r="H80" s="268"/>
      <c r="I80" s="266"/>
      <c r="J80" s="267"/>
      <c r="K80" s="268">
        <v>9.92</v>
      </c>
      <c r="L80" s="266">
        <f>Budget!B169*Valeurs!K80</f>
        <v>0</v>
      </c>
      <c r="M80" s="267">
        <f>Budget!G169*Valeurs!K80</f>
        <v>0</v>
      </c>
      <c r="N80" s="268">
        <v>2.95</v>
      </c>
      <c r="O80" s="266">
        <f>Budget!B169*Valeurs!N80</f>
        <v>0</v>
      </c>
      <c r="P80" s="267">
        <f>Budget!G169*Valeurs!N80</f>
        <v>0</v>
      </c>
      <c r="Q80" s="299">
        <v>8</v>
      </c>
      <c r="R80" s="43">
        <f>Budget!B169*Valeurs!Q80</f>
        <v>0</v>
      </c>
      <c r="S80" s="300">
        <f>Budget!G169*Valeurs!Q80</f>
        <v>0</v>
      </c>
      <c r="T80" s="268">
        <v>3.47</v>
      </c>
      <c r="U80" s="266">
        <f>Budget!B169*Valeurs!T80</f>
        <v>0</v>
      </c>
      <c r="V80" s="267">
        <f>Budget!G169*Valeurs!T80</f>
        <v>0</v>
      </c>
    </row>
    <row r="81" spans="1:27" ht="13.5" thickBot="1">
      <c r="A81" s="265" t="s">
        <v>212</v>
      </c>
      <c r="B81" s="274">
        <v>4.71</v>
      </c>
      <c r="C81" s="274">
        <f>Budget!B170*Valeurs!B81</f>
        <v>0</v>
      </c>
      <c r="D81" s="275">
        <f>Budget!G170*Valeurs!B81</f>
        <v>0</v>
      </c>
      <c r="E81" s="276">
        <v>5.21</v>
      </c>
      <c r="F81" s="274">
        <f>Budget!B170*Valeurs!E81</f>
        <v>0</v>
      </c>
      <c r="G81" s="275">
        <f>Budget!G170*Valeurs!E81</f>
        <v>0</v>
      </c>
      <c r="H81" s="276"/>
      <c r="I81" s="274"/>
      <c r="J81" s="275"/>
      <c r="K81" s="276">
        <v>10.41</v>
      </c>
      <c r="L81" s="274">
        <f>Budget!B170*Valeurs!K81</f>
        <v>0</v>
      </c>
      <c r="M81" s="275">
        <f>Budget!G170*Valeurs!K81</f>
        <v>0</v>
      </c>
      <c r="N81" s="276">
        <v>2.95</v>
      </c>
      <c r="O81" s="274">
        <f>Budget!B170*Valeurs!N81</f>
        <v>0</v>
      </c>
      <c r="P81" s="275">
        <f>Budget!G170*Valeurs!N81</f>
        <v>0</v>
      </c>
      <c r="Q81" s="237">
        <v>10</v>
      </c>
      <c r="R81" s="301">
        <f>Budget!B170*Valeurs!Q81</f>
        <v>0</v>
      </c>
      <c r="S81" s="302">
        <f>Budget!G170*Valeurs!Q81</f>
        <v>0</v>
      </c>
      <c r="T81" s="276">
        <v>3.72</v>
      </c>
      <c r="U81" s="274">
        <f>Budget!B170*Valeurs!T81</f>
        <v>0</v>
      </c>
      <c r="V81" s="275">
        <f>Budget!G170*Valeurs!T81</f>
        <v>0</v>
      </c>
    </row>
    <row r="82" spans="1:27" s="290" customFormat="1" ht="13.5" thickBot="1">
      <c r="A82" s="281" t="s">
        <v>292</v>
      </c>
      <c r="B82" s="282" t="s">
        <v>291</v>
      </c>
      <c r="C82" s="283">
        <f>SUM(C53:C81)</f>
        <v>0</v>
      </c>
      <c r="D82" s="285">
        <f>SUM(D53:D81)</f>
        <v>0</v>
      </c>
      <c r="E82" s="282" t="s">
        <v>291</v>
      </c>
      <c r="F82" s="283">
        <f>SUM(F53:F81)</f>
        <v>0</v>
      </c>
      <c r="G82" s="285">
        <f>SUM(G53:G81)</f>
        <v>0</v>
      </c>
      <c r="H82" s="282" t="s">
        <v>291</v>
      </c>
      <c r="I82" s="283">
        <f t="shared" ref="I82:V82" si="2">SUM(I53:I81)</f>
        <v>0</v>
      </c>
      <c r="J82" s="285">
        <f t="shared" si="2"/>
        <v>0</v>
      </c>
      <c r="K82" s="282" t="s">
        <v>291</v>
      </c>
      <c r="L82" s="283">
        <f t="shared" si="2"/>
        <v>0</v>
      </c>
      <c r="M82" s="285">
        <f t="shared" si="2"/>
        <v>0</v>
      </c>
      <c r="N82" s="282" t="s">
        <v>291</v>
      </c>
      <c r="O82" s="283">
        <f t="shared" si="2"/>
        <v>0</v>
      </c>
      <c r="P82" s="285">
        <f t="shared" si="2"/>
        <v>0</v>
      </c>
      <c r="Q82" s="303" t="s">
        <v>291</v>
      </c>
      <c r="R82" s="288">
        <f t="shared" si="2"/>
        <v>0</v>
      </c>
      <c r="S82" s="289">
        <f t="shared" si="2"/>
        <v>0</v>
      </c>
      <c r="T82" s="282" t="s">
        <v>291</v>
      </c>
      <c r="U82" s="283">
        <f t="shared" si="2"/>
        <v>0</v>
      </c>
      <c r="V82" s="285">
        <f t="shared" si="2"/>
        <v>0</v>
      </c>
    </row>
    <row r="83" spans="1:27" ht="13.5" thickBot="1"/>
    <row r="84" spans="1:27" ht="15.75" thickBot="1">
      <c r="A84" s="304"/>
      <c r="B84" s="304"/>
      <c r="C84" s="304"/>
      <c r="D84" s="304"/>
      <c r="E84" s="304"/>
      <c r="F84" s="304"/>
      <c r="G84" s="304"/>
      <c r="N84" s="304"/>
      <c r="O84" s="305"/>
      <c r="P84" s="306" t="s">
        <v>597</v>
      </c>
      <c r="Q84" s="307"/>
      <c r="R84" s="307"/>
      <c r="S84" s="308"/>
      <c r="T84" s="305"/>
      <c r="U84" s="306" t="s">
        <v>598</v>
      </c>
      <c r="V84" s="309"/>
      <c r="W84" s="309"/>
      <c r="X84" s="308"/>
      <c r="Y84" s="304"/>
      <c r="Z84" s="304"/>
      <c r="AA84" s="304"/>
    </row>
    <row r="85" spans="1:27" ht="15.75" thickBot="1">
      <c r="A85" s="304"/>
      <c r="B85" s="304"/>
      <c r="C85" s="304"/>
      <c r="D85" s="304"/>
      <c r="E85" s="304"/>
      <c r="F85" s="304"/>
      <c r="G85" s="304"/>
      <c r="N85" s="304"/>
      <c r="O85" s="310" t="s">
        <v>258</v>
      </c>
      <c r="P85" s="306" t="s">
        <v>82</v>
      </c>
      <c r="Q85" s="311"/>
      <c r="R85" s="312" t="s">
        <v>585</v>
      </c>
      <c r="S85" s="311"/>
      <c r="T85" s="310" t="s">
        <v>258</v>
      </c>
      <c r="U85" s="306" t="s">
        <v>82</v>
      </c>
      <c r="V85" s="308"/>
      <c r="W85" s="306" t="s">
        <v>83</v>
      </c>
      <c r="X85" s="308"/>
      <c r="Y85" s="304"/>
      <c r="Z85" s="304"/>
      <c r="AA85" s="304"/>
    </row>
    <row r="86" spans="1:27" ht="15.75" thickBot="1">
      <c r="A86" s="304"/>
      <c r="B86" s="304"/>
      <c r="C86" s="304"/>
      <c r="D86" s="304"/>
      <c r="E86" s="304"/>
      <c r="F86" s="304"/>
      <c r="G86" s="304"/>
      <c r="N86" s="304"/>
      <c r="O86" s="313"/>
      <c r="P86" s="228" t="s">
        <v>599</v>
      </c>
      <c r="Q86" s="228" t="s">
        <v>600</v>
      </c>
      <c r="R86" s="229" t="s">
        <v>599</v>
      </c>
      <c r="S86" s="228" t="s">
        <v>600</v>
      </c>
      <c r="T86" s="313"/>
      <c r="U86" s="229" t="s">
        <v>601</v>
      </c>
      <c r="V86" s="314" t="s">
        <v>602</v>
      </c>
      <c r="W86" s="229" t="s">
        <v>601</v>
      </c>
      <c r="X86" s="314" t="s">
        <v>602</v>
      </c>
      <c r="Y86" s="304"/>
      <c r="Z86" s="304"/>
      <c r="AA86" s="304"/>
    </row>
    <row r="87" spans="1:27" ht="15">
      <c r="A87" s="304"/>
      <c r="B87" s="304"/>
      <c r="C87" s="304"/>
      <c r="D87" s="304"/>
      <c r="E87" s="304"/>
      <c r="F87" s="304"/>
      <c r="G87" s="304"/>
      <c r="N87" s="304"/>
      <c r="O87" s="231" t="s">
        <v>235</v>
      </c>
      <c r="P87" s="315">
        <v>173.53</v>
      </c>
      <c r="Q87" s="316">
        <f>Budget!B358*P87</f>
        <v>0</v>
      </c>
      <c r="R87" s="317">
        <f t="shared" ref="R87:R99" si="3">P87</f>
        <v>173.53</v>
      </c>
      <c r="S87" s="318">
        <f>Budget!G358*R87</f>
        <v>0</v>
      </c>
      <c r="T87" s="231" t="s">
        <v>235</v>
      </c>
      <c r="U87" s="319">
        <v>33</v>
      </c>
      <c r="V87" s="320">
        <f>Budget!B358*Valeurs!U87</f>
        <v>0</v>
      </c>
      <c r="W87" s="319">
        <f>U87</f>
        <v>33</v>
      </c>
      <c r="X87" s="320">
        <f>Budget!G358*Valeurs!W87</f>
        <v>0</v>
      </c>
      <c r="Y87" s="304"/>
      <c r="Z87" s="304"/>
      <c r="AA87" s="304"/>
    </row>
    <row r="88" spans="1:27" ht="15">
      <c r="A88" s="304"/>
      <c r="B88" s="304"/>
      <c r="C88" s="304"/>
      <c r="D88" s="304"/>
      <c r="E88" s="304"/>
      <c r="F88" s="304"/>
      <c r="G88" s="304"/>
      <c r="N88" s="304"/>
      <c r="O88" s="234" t="s">
        <v>236</v>
      </c>
      <c r="P88" s="315">
        <v>173.53</v>
      </c>
      <c r="Q88" s="321">
        <f>Budget!B359*P88</f>
        <v>0</v>
      </c>
      <c r="R88" s="315">
        <f t="shared" si="3"/>
        <v>173.53</v>
      </c>
      <c r="S88" s="322">
        <f>Budget!G359*R88</f>
        <v>0</v>
      </c>
      <c r="T88" s="234" t="s">
        <v>236</v>
      </c>
      <c r="U88" s="323">
        <v>33</v>
      </c>
      <c r="V88" s="324">
        <f>Budget!B359*Valeurs!U88</f>
        <v>0</v>
      </c>
      <c r="W88" s="323">
        <f>U88</f>
        <v>33</v>
      </c>
      <c r="X88" s="324">
        <f>Budget!G359*Valeurs!W88</f>
        <v>0</v>
      </c>
      <c r="Y88" s="304"/>
      <c r="Z88" s="304"/>
      <c r="AA88" s="304"/>
    </row>
    <row r="89" spans="1:27" ht="15">
      <c r="A89" s="304"/>
      <c r="B89" s="304"/>
      <c r="C89" s="304"/>
      <c r="D89" s="304"/>
      <c r="E89" s="304"/>
      <c r="F89" s="304"/>
      <c r="G89" s="304"/>
      <c r="N89" s="304"/>
      <c r="O89" s="234" t="s">
        <v>237</v>
      </c>
      <c r="P89" s="315">
        <v>136.34</v>
      </c>
      <c r="Q89" s="321">
        <f>Budget!B360*P89</f>
        <v>0</v>
      </c>
      <c r="R89" s="315">
        <f t="shared" si="3"/>
        <v>136.34</v>
      </c>
      <c r="S89" s="322">
        <f>Budget!G360*R89</f>
        <v>0</v>
      </c>
      <c r="T89" s="234" t="s">
        <v>237</v>
      </c>
      <c r="U89" s="299"/>
      <c r="V89" s="324"/>
      <c r="W89" s="299"/>
      <c r="X89" s="324"/>
      <c r="Y89" s="304"/>
      <c r="Z89" s="304"/>
      <c r="AA89" s="304"/>
    </row>
    <row r="90" spans="1:27" ht="15">
      <c r="A90" s="304"/>
      <c r="B90" s="304"/>
      <c r="C90" s="304"/>
      <c r="D90" s="304"/>
      <c r="E90" s="304"/>
      <c r="F90" s="304"/>
      <c r="G90" s="304"/>
      <c r="N90" s="304"/>
      <c r="O90" s="234" t="s">
        <v>238</v>
      </c>
      <c r="P90" s="315">
        <v>74.37</v>
      </c>
      <c r="Q90" s="321">
        <f>Budget!B361*P90</f>
        <v>0</v>
      </c>
      <c r="R90" s="315">
        <f t="shared" si="3"/>
        <v>74.37</v>
      </c>
      <c r="S90" s="322">
        <f>Budget!G361*R90</f>
        <v>0</v>
      </c>
      <c r="T90" s="234" t="s">
        <v>238</v>
      </c>
      <c r="U90" s="323">
        <v>15</v>
      </c>
      <c r="V90" s="324">
        <f>Budget!B361*Valeurs!U90</f>
        <v>0</v>
      </c>
      <c r="W90" s="323">
        <f>U90</f>
        <v>15</v>
      </c>
      <c r="X90" s="324">
        <f>Budget!G361*Valeurs!W90</f>
        <v>0</v>
      </c>
      <c r="Y90" s="304"/>
      <c r="Z90" s="304"/>
      <c r="AA90" s="304"/>
    </row>
    <row r="91" spans="1:27" ht="15">
      <c r="A91" s="304"/>
      <c r="B91" s="304"/>
      <c r="C91" s="304"/>
      <c r="D91" s="304"/>
      <c r="E91" s="304"/>
      <c r="F91" s="304"/>
      <c r="G91" s="304"/>
      <c r="N91" s="304"/>
      <c r="O91" s="234" t="s">
        <v>239</v>
      </c>
      <c r="P91" s="315">
        <v>55.78</v>
      </c>
      <c r="Q91" s="321">
        <f>Budget!B362*P91</f>
        <v>0</v>
      </c>
      <c r="R91" s="315">
        <f t="shared" si="3"/>
        <v>55.78</v>
      </c>
      <c r="S91" s="322">
        <f>Budget!G362*R91</f>
        <v>0</v>
      </c>
      <c r="T91" s="234" t="s">
        <v>239</v>
      </c>
      <c r="U91" s="323">
        <v>15</v>
      </c>
      <c r="V91" s="324">
        <f>Budget!B362*Valeurs!U91</f>
        <v>0</v>
      </c>
      <c r="W91" s="323">
        <f>U91</f>
        <v>15</v>
      </c>
      <c r="X91" s="324">
        <f>Budget!G362*Valeurs!W91</f>
        <v>0</v>
      </c>
      <c r="Y91" s="304"/>
      <c r="Z91" s="304"/>
      <c r="AA91" s="304"/>
    </row>
    <row r="92" spans="1:27" ht="15">
      <c r="A92" s="304"/>
      <c r="B92" s="304"/>
      <c r="C92" s="304"/>
      <c r="D92" s="304"/>
      <c r="E92" s="304"/>
      <c r="F92" s="304"/>
      <c r="G92" s="304"/>
      <c r="N92" s="304"/>
      <c r="O92" s="234" t="s">
        <v>240</v>
      </c>
      <c r="P92" s="315">
        <v>111.55</v>
      </c>
      <c r="Q92" s="321">
        <f>Budget!B368*P92</f>
        <v>0</v>
      </c>
      <c r="R92" s="315">
        <f t="shared" si="3"/>
        <v>111.55</v>
      </c>
      <c r="S92" s="322">
        <f>Budget!G368*R92</f>
        <v>0</v>
      </c>
      <c r="T92" s="234" t="s">
        <v>240</v>
      </c>
      <c r="U92" s="323">
        <v>30</v>
      </c>
      <c r="V92" s="324">
        <f>Budget!B368*Valeurs!U92</f>
        <v>0</v>
      </c>
      <c r="W92" s="323">
        <f>U92</f>
        <v>30</v>
      </c>
      <c r="X92" s="324">
        <f>Budget!G368*Valeurs!W92</f>
        <v>0</v>
      </c>
      <c r="Y92" s="304"/>
      <c r="Z92" s="304"/>
      <c r="AA92" s="304"/>
    </row>
    <row r="93" spans="1:27" ht="15">
      <c r="A93" s="304"/>
      <c r="B93" s="304"/>
      <c r="C93" s="304"/>
      <c r="D93" s="304"/>
      <c r="E93" s="304"/>
      <c r="F93" s="304"/>
      <c r="G93" s="304"/>
      <c r="N93" s="304"/>
      <c r="O93" s="234" t="s">
        <v>241</v>
      </c>
      <c r="P93" s="315">
        <v>111.55</v>
      </c>
      <c r="Q93" s="321">
        <f>Budget!B369*P93</f>
        <v>0</v>
      </c>
      <c r="R93" s="315">
        <f t="shared" si="3"/>
        <v>111.55</v>
      </c>
      <c r="S93" s="322">
        <f>Budget!G369*R93</f>
        <v>0</v>
      </c>
      <c r="T93" s="234" t="s">
        <v>241</v>
      </c>
      <c r="U93" s="323">
        <v>30</v>
      </c>
      <c r="V93" s="324">
        <f>Budget!B369*Valeurs!U93</f>
        <v>0</v>
      </c>
      <c r="W93" s="323">
        <f>U93</f>
        <v>30</v>
      </c>
      <c r="X93" s="324">
        <f>Budget!G369*Valeurs!W93</f>
        <v>0</v>
      </c>
      <c r="Y93" s="304"/>
      <c r="Z93" s="304"/>
      <c r="AA93" s="304"/>
    </row>
    <row r="94" spans="1:27" ht="15">
      <c r="A94" s="304"/>
      <c r="B94" s="304"/>
      <c r="C94" s="304"/>
      <c r="D94" s="304"/>
      <c r="E94" s="304"/>
      <c r="F94" s="304"/>
      <c r="G94" s="304"/>
      <c r="N94" s="304"/>
      <c r="O94" s="234" t="s">
        <v>242</v>
      </c>
      <c r="P94" s="315">
        <v>76.849999999999994</v>
      </c>
      <c r="Q94" s="321">
        <f>Budget!B370*P94</f>
        <v>0</v>
      </c>
      <c r="R94" s="315">
        <f t="shared" si="3"/>
        <v>76.849999999999994</v>
      </c>
      <c r="S94" s="322">
        <f>Budget!G370*R94</f>
        <v>0</v>
      </c>
      <c r="T94" s="234" t="s">
        <v>242</v>
      </c>
      <c r="U94" s="299"/>
      <c r="V94" s="324"/>
      <c r="W94" s="299"/>
      <c r="X94" s="324"/>
      <c r="Y94" s="304"/>
      <c r="Z94" s="304"/>
      <c r="AA94" s="304"/>
    </row>
    <row r="95" spans="1:27" ht="15">
      <c r="A95" s="304"/>
      <c r="B95" s="304"/>
      <c r="C95" s="304"/>
      <c r="D95" s="304"/>
      <c r="E95" s="304"/>
      <c r="F95" s="304"/>
      <c r="G95" s="304"/>
      <c r="N95" s="304"/>
      <c r="O95" s="234" t="s">
        <v>243</v>
      </c>
      <c r="P95" s="315">
        <v>39.659999999999997</v>
      </c>
      <c r="Q95" s="321">
        <f>Budget!B371*P95</f>
        <v>0</v>
      </c>
      <c r="R95" s="315">
        <f t="shared" si="3"/>
        <v>39.659999999999997</v>
      </c>
      <c r="S95" s="322">
        <f>Budget!G371*R95</f>
        <v>0</v>
      </c>
      <c r="T95" s="234" t="s">
        <v>243</v>
      </c>
      <c r="U95" s="323">
        <v>15</v>
      </c>
      <c r="V95" s="324">
        <f>Budget!B371*Valeurs!U95</f>
        <v>0</v>
      </c>
      <c r="W95" s="323">
        <f>U95</f>
        <v>15</v>
      </c>
      <c r="X95" s="324">
        <f>Budget!G371*Valeurs!W95</f>
        <v>0</v>
      </c>
      <c r="Y95" s="304"/>
      <c r="Z95" s="304"/>
      <c r="AA95" s="304"/>
    </row>
    <row r="96" spans="1:27" ht="15">
      <c r="A96" s="304"/>
      <c r="B96" s="304"/>
      <c r="C96" s="304"/>
      <c r="D96" s="304"/>
      <c r="E96" s="304"/>
      <c r="F96" s="304"/>
      <c r="G96" s="304"/>
      <c r="N96" s="304"/>
      <c r="O96" s="234" t="s">
        <v>244</v>
      </c>
      <c r="P96" s="315">
        <v>34.71</v>
      </c>
      <c r="Q96" s="321">
        <f>Budget!B372*P96</f>
        <v>0</v>
      </c>
      <c r="R96" s="315">
        <f t="shared" si="3"/>
        <v>34.71</v>
      </c>
      <c r="S96" s="322">
        <f>Budget!G372*R96</f>
        <v>0</v>
      </c>
      <c r="T96" s="234" t="s">
        <v>244</v>
      </c>
      <c r="U96" s="323">
        <v>15</v>
      </c>
      <c r="V96" s="324">
        <f>Budget!B372*Valeurs!U96</f>
        <v>0</v>
      </c>
      <c r="W96" s="323">
        <f>U96</f>
        <v>15</v>
      </c>
      <c r="X96" s="324">
        <f>Budget!G372*Valeurs!W96</f>
        <v>0</v>
      </c>
      <c r="Y96" s="304"/>
      <c r="Z96" s="304"/>
      <c r="AA96" s="304"/>
    </row>
    <row r="97" spans="1:27" ht="15">
      <c r="A97" s="304"/>
      <c r="B97" s="304"/>
      <c r="C97" s="304"/>
      <c r="D97" s="304"/>
      <c r="E97" s="304"/>
      <c r="F97" s="304"/>
      <c r="G97" s="304"/>
      <c r="N97" s="304"/>
      <c r="O97" s="234" t="s">
        <v>246</v>
      </c>
      <c r="P97" s="315">
        <v>371.84</v>
      </c>
      <c r="Q97" s="321">
        <f>Budget!B376*P97</f>
        <v>0</v>
      </c>
      <c r="R97" s="315">
        <f t="shared" si="3"/>
        <v>371.84</v>
      </c>
      <c r="S97" s="322">
        <f>Budget!G376*R97</f>
        <v>0</v>
      </c>
      <c r="T97" s="234" t="s">
        <v>246</v>
      </c>
      <c r="U97" s="323">
        <v>15</v>
      </c>
      <c r="V97" s="324">
        <f>Budget!B376*Valeurs!U97</f>
        <v>0</v>
      </c>
      <c r="W97" s="323">
        <f>U97</f>
        <v>15</v>
      </c>
      <c r="X97" s="324">
        <f>Budget!G376*Valeurs!W97</f>
        <v>0</v>
      </c>
      <c r="Y97" s="304"/>
      <c r="Z97" s="304"/>
      <c r="AA97" s="304"/>
    </row>
    <row r="98" spans="1:27" ht="15">
      <c r="A98" s="304"/>
      <c r="B98" s="304"/>
      <c r="C98" s="304"/>
      <c r="D98" s="304"/>
      <c r="E98" s="304"/>
      <c r="F98" s="304"/>
      <c r="G98" s="304"/>
      <c r="N98" s="304"/>
      <c r="O98" s="234" t="s">
        <v>247</v>
      </c>
      <c r="P98" s="315">
        <v>198.31</v>
      </c>
      <c r="Q98" s="321" t="e">
        <f>Budget!#REF!*P98</f>
        <v>#REF!</v>
      </c>
      <c r="R98" s="315">
        <f t="shared" si="3"/>
        <v>198.31</v>
      </c>
      <c r="S98" s="322" t="e">
        <f>Budget!#REF!*R98</f>
        <v>#REF!</v>
      </c>
      <c r="T98" s="234" t="s">
        <v>247</v>
      </c>
      <c r="U98" s="323">
        <v>15</v>
      </c>
      <c r="V98" s="324" t="e">
        <f>Budget!#REF!*Valeurs!U98</f>
        <v>#REF!</v>
      </c>
      <c r="W98" s="323">
        <f>U98</f>
        <v>15</v>
      </c>
      <c r="X98" s="324" t="e">
        <f>Budget!#REF!*Valeurs!W98</f>
        <v>#REF!</v>
      </c>
      <c r="Y98" s="304"/>
      <c r="Z98" s="304"/>
      <c r="AA98" s="304"/>
    </row>
    <row r="99" spans="1:27" ht="15.75" thickBot="1">
      <c r="A99" s="304"/>
      <c r="B99" s="304"/>
      <c r="C99" s="304"/>
      <c r="D99" s="304"/>
      <c r="E99" s="304"/>
      <c r="F99" s="304"/>
      <c r="G99" s="304"/>
      <c r="N99" s="304"/>
      <c r="O99" s="236" t="s">
        <v>271</v>
      </c>
      <c r="P99" s="325">
        <v>99.16</v>
      </c>
      <c r="Q99" s="326">
        <f>Budget!B379*P99</f>
        <v>0</v>
      </c>
      <c r="R99" s="315">
        <f t="shared" si="3"/>
        <v>99.16</v>
      </c>
      <c r="S99" s="327">
        <f>Budget!G379*R99</f>
        <v>0</v>
      </c>
      <c r="T99" s="236" t="s">
        <v>271</v>
      </c>
      <c r="U99" s="328">
        <v>15</v>
      </c>
      <c r="V99" s="238">
        <f>Budget!B379*Valeurs!U99</f>
        <v>0</v>
      </c>
      <c r="W99" s="323">
        <f>U99</f>
        <v>15</v>
      </c>
      <c r="X99" s="238">
        <f>Budget!G379*Valeurs!W99</f>
        <v>0</v>
      </c>
      <c r="Y99" s="304"/>
      <c r="Z99" s="304"/>
      <c r="AA99" s="304"/>
    </row>
    <row r="100" spans="1:27" ht="15.75" thickBot="1">
      <c r="A100" s="304"/>
      <c r="B100" s="304"/>
      <c r="C100" s="304"/>
      <c r="D100" s="304"/>
      <c r="E100" s="304"/>
      <c r="F100" s="304"/>
      <c r="G100" s="304"/>
      <c r="N100" s="304"/>
      <c r="O100" s="228" t="s">
        <v>292</v>
      </c>
      <c r="P100" s="329"/>
      <c r="Q100" s="330" t="e">
        <f>SUM(Q87:Q99)</f>
        <v>#REF!</v>
      </c>
      <c r="R100" s="331"/>
      <c r="S100" s="332" t="e">
        <f>SUM(S87:S99)</f>
        <v>#REF!</v>
      </c>
      <c r="T100" s="228" t="s">
        <v>292</v>
      </c>
      <c r="U100" s="333" t="s">
        <v>291</v>
      </c>
      <c r="V100" s="120" t="e">
        <f>SUM(V87:V99)</f>
        <v>#REF!</v>
      </c>
      <c r="W100" s="333" t="s">
        <v>291</v>
      </c>
      <c r="X100" s="120" t="e">
        <f>SUM(X87:X99)</f>
        <v>#REF!</v>
      </c>
      <c r="Y100" s="304"/>
      <c r="Z100" s="304"/>
      <c r="AA100" s="304"/>
    </row>
    <row r="101" spans="1:27" ht="13.5" thickBot="1"/>
    <row r="102" spans="1:27" ht="13.5" thickBot="1">
      <c r="A102" s="240" t="s">
        <v>603</v>
      </c>
      <c r="B102" s="243"/>
      <c r="C102" s="244"/>
    </row>
    <row r="103" spans="1:27" ht="13.5" thickBot="1">
      <c r="A103" s="291" t="s">
        <v>258</v>
      </c>
      <c r="B103" s="334" t="s">
        <v>82</v>
      </c>
      <c r="C103" s="335" t="s">
        <v>83</v>
      </c>
      <c r="T103" s="336"/>
    </row>
    <row r="104" spans="1:27">
      <c r="A104" s="265" t="s">
        <v>252</v>
      </c>
      <c r="B104" s="337">
        <f>(Budget!B358+Budget!B359)*2400/40.3399</f>
        <v>0</v>
      </c>
      <c r="C104" s="338">
        <f>(Budget!G358+Budget!G359)*2400/40.3399</f>
        <v>0</v>
      </c>
      <c r="T104" s="336"/>
    </row>
    <row r="105" spans="1:27">
      <c r="A105" s="265" t="s">
        <v>240</v>
      </c>
      <c r="B105" s="266">
        <f>(Budget!B368+Budget!B369)*5700/40.3399</f>
        <v>0</v>
      </c>
      <c r="C105" s="339">
        <f>(Budget!G368+Budget!G369)*5700/40.3399</f>
        <v>0</v>
      </c>
      <c r="T105" s="336"/>
    </row>
    <row r="106" spans="1:27" ht="13.5" thickBot="1">
      <c r="A106" s="265" t="s">
        <v>604</v>
      </c>
      <c r="B106" s="274" t="e">
        <f>(Budget!B362+Budget!B372+Budget!#REF!)*300/40.3399</f>
        <v>#REF!</v>
      </c>
      <c r="C106" s="340" t="e">
        <f>(Budget!G362+Budget!G372+Budget!#REF!)*300/40.3399</f>
        <v>#REF!</v>
      </c>
      <c r="T106" s="43"/>
    </row>
    <row r="107" spans="1:27" ht="13.5" thickBot="1">
      <c r="A107" s="281" t="s">
        <v>292</v>
      </c>
      <c r="B107" s="341" t="e">
        <f>SUM(B104:B106)</f>
        <v>#REF!</v>
      </c>
      <c r="C107" s="342" t="e">
        <f>SUM(C104:C106)</f>
        <v>#REF!</v>
      </c>
      <c r="T107" s="43"/>
    </row>
    <row r="108" spans="1:27" ht="13.5" thickBot="1">
      <c r="T108" s="43"/>
    </row>
    <row r="109" spans="1:27" ht="13.5" thickBot="1">
      <c r="A109" s="240" t="s">
        <v>605</v>
      </c>
      <c r="B109" s="243"/>
      <c r="C109" s="244"/>
      <c r="T109" s="43"/>
    </row>
    <row r="110" spans="1:27" ht="13.5" thickBot="1">
      <c r="A110" s="343" t="s">
        <v>258</v>
      </c>
      <c r="B110" s="334" t="s">
        <v>584</v>
      </c>
      <c r="C110" s="335" t="s">
        <v>83</v>
      </c>
      <c r="T110" s="43"/>
    </row>
    <row r="111" spans="1:27">
      <c r="A111" s="265" t="s">
        <v>606</v>
      </c>
      <c r="B111" s="344">
        <f>(Budget!B442+Budget!B443)*25</f>
        <v>0</v>
      </c>
      <c r="C111" s="320">
        <f>(Budget!G442+Budget!G443)*25</f>
        <v>0</v>
      </c>
      <c r="T111" s="43"/>
    </row>
    <row r="112" spans="1:27">
      <c r="A112" s="272" t="s">
        <v>276</v>
      </c>
      <c r="B112" s="43">
        <f>Budget!B445*15</f>
        <v>0</v>
      </c>
      <c r="C112" s="324">
        <f>Budget!G445*15</f>
        <v>0</v>
      </c>
      <c r="T112" s="43"/>
    </row>
    <row r="113" spans="1:20">
      <c r="A113" s="272" t="s">
        <v>277</v>
      </c>
      <c r="B113" s="43">
        <f>Budget!B446</f>
        <v>0</v>
      </c>
      <c r="C113" s="324">
        <f>Budget!G446</f>
        <v>0</v>
      </c>
      <c r="T113" s="43"/>
    </row>
    <row r="114" spans="1:20" ht="13.5" thickBot="1">
      <c r="A114" s="265" t="s">
        <v>284</v>
      </c>
      <c r="B114" s="301">
        <f>Budget!B448</f>
        <v>0</v>
      </c>
      <c r="C114" s="238">
        <f>Budget!G448</f>
        <v>0</v>
      </c>
      <c r="T114" s="43"/>
    </row>
    <row r="115" spans="1:20" ht="13.5" thickBot="1">
      <c r="A115" s="281" t="s">
        <v>292</v>
      </c>
      <c r="B115" s="345">
        <f>SUM(B111:B114)</f>
        <v>0</v>
      </c>
      <c r="C115" s="346">
        <f>SUM(C111:C114)</f>
        <v>0</v>
      </c>
      <c r="T115" s="43"/>
    </row>
    <row r="116" spans="1:20" ht="13.5" thickBot="1">
      <c r="T116" s="43"/>
    </row>
    <row r="117" spans="1:20" ht="13.5" thickBot="1">
      <c r="A117" s="240" t="s">
        <v>607</v>
      </c>
      <c r="B117" s="243"/>
      <c r="C117" s="243"/>
      <c r="D117" s="243"/>
      <c r="E117" s="243"/>
      <c r="F117" s="243"/>
      <c r="G117" s="243"/>
      <c r="H117" s="243"/>
      <c r="I117" s="244"/>
      <c r="T117" s="43"/>
    </row>
    <row r="118" spans="1:20" ht="13.5" thickBot="1">
      <c r="A118" s="291"/>
      <c r="B118" s="240" t="s">
        <v>303</v>
      </c>
      <c r="C118" s="244"/>
      <c r="D118" s="240" t="s">
        <v>304</v>
      </c>
      <c r="E118" s="244"/>
      <c r="F118" s="240" t="s">
        <v>306</v>
      </c>
      <c r="G118" s="244"/>
      <c r="H118" s="240" t="s">
        <v>608</v>
      </c>
      <c r="I118" s="244"/>
      <c r="T118" s="43"/>
    </row>
    <row r="119" spans="1:20" ht="13.5" thickBot="1">
      <c r="A119" s="248" t="s">
        <v>258</v>
      </c>
      <c r="B119" s="334" t="s">
        <v>82</v>
      </c>
      <c r="C119" s="335" t="s">
        <v>83</v>
      </c>
      <c r="D119" s="334" t="s">
        <v>82</v>
      </c>
      <c r="E119" s="335" t="s">
        <v>83</v>
      </c>
      <c r="F119" s="334" t="s">
        <v>82</v>
      </c>
      <c r="G119" s="335" t="s">
        <v>83</v>
      </c>
      <c r="H119" s="334" t="s">
        <v>82</v>
      </c>
      <c r="I119" s="335" t="s">
        <v>83</v>
      </c>
      <c r="T119" s="336"/>
    </row>
    <row r="120" spans="1:20">
      <c r="A120" s="265" t="s">
        <v>286</v>
      </c>
      <c r="B120" s="266">
        <f>Budget!B490*9000/40.3399</f>
        <v>0</v>
      </c>
      <c r="C120" s="338">
        <f>Budget!G490*9000/40.3399</f>
        <v>0</v>
      </c>
      <c r="D120" s="347">
        <f>Budget!B490*1500/40.3399</f>
        <v>0</v>
      </c>
      <c r="E120" s="338">
        <f>Budget!G490*1500/40.3399</f>
        <v>0</v>
      </c>
      <c r="F120" s="347">
        <f>Budget!B490*2600/40.3399</f>
        <v>0</v>
      </c>
      <c r="G120" s="338">
        <f>Budget!G490*2600/40.3399</f>
        <v>0</v>
      </c>
      <c r="H120" s="348">
        <f>Budget!B490*50</f>
        <v>0</v>
      </c>
      <c r="I120" s="320">
        <f>Budget!G490*50</f>
        <v>0</v>
      </c>
    </row>
    <row r="121" spans="1:20">
      <c r="A121" s="265" t="s">
        <v>287</v>
      </c>
      <c r="B121" s="266">
        <f>Budget!B491*5400/40.3399</f>
        <v>0</v>
      </c>
      <c r="C121" s="339">
        <f>Budget!G491*5400/40.3399</f>
        <v>0</v>
      </c>
      <c r="D121" s="268">
        <f>Budget!B491*1500/40.3399</f>
        <v>0</v>
      </c>
      <c r="E121" s="339">
        <f>Budget!G491*1500/40.3399</f>
        <v>0</v>
      </c>
      <c r="F121" s="268">
        <f>Budget!B491*2600/40.3399</f>
        <v>0</v>
      </c>
      <c r="G121" s="339">
        <f>Budget!G491*2600/40.3399</f>
        <v>0</v>
      </c>
      <c r="H121" s="299">
        <f>Budget!B491*30</f>
        <v>0</v>
      </c>
      <c r="I121" s="324">
        <f>Budget!G491*30</f>
        <v>0</v>
      </c>
    </row>
    <row r="122" spans="1:20">
      <c r="A122" s="265" t="s">
        <v>288</v>
      </c>
      <c r="B122" s="266">
        <f>Budget!B492*6000/40.3399</f>
        <v>0</v>
      </c>
      <c r="C122" s="339">
        <f>Budget!G492*6000/40.3399</f>
        <v>0</v>
      </c>
      <c r="D122" s="268">
        <f>Budget!B492*1500/40.3399</f>
        <v>0</v>
      </c>
      <c r="E122" s="339">
        <f>Budget!G492*1500/40.3399</f>
        <v>0</v>
      </c>
      <c r="F122" s="268">
        <f>Budget!B492*4600/40.3399</f>
        <v>0</v>
      </c>
      <c r="G122" s="339">
        <f>Budget!G492*4600/40.3399</f>
        <v>0</v>
      </c>
      <c r="H122" s="299">
        <f>Budget!B492*50</f>
        <v>0</v>
      </c>
      <c r="I122" s="324">
        <f>Budget!G492*50</f>
        <v>0</v>
      </c>
    </row>
    <row r="123" spans="1:20">
      <c r="A123" s="265" t="s">
        <v>289</v>
      </c>
      <c r="B123" s="266">
        <f>Budget!B493*4500/40.3399</f>
        <v>0</v>
      </c>
      <c r="C123" s="339">
        <f>Budget!G493*4500/40.3399</f>
        <v>0</v>
      </c>
      <c r="D123" s="268">
        <f>Budget!B493*900/40.3399</f>
        <v>0</v>
      </c>
      <c r="E123" s="339">
        <f>Budget!G493*900/40.3399</f>
        <v>0</v>
      </c>
      <c r="F123" s="268">
        <v>0</v>
      </c>
      <c r="G123" s="339">
        <v>0</v>
      </c>
      <c r="H123" s="299">
        <f>Budget!B493*15</f>
        <v>0</v>
      </c>
      <c r="I123" s="324">
        <f>Budget!G493*15</f>
        <v>0</v>
      </c>
    </row>
    <row r="124" spans="1:20" ht="13.5" thickBot="1">
      <c r="A124" s="265" t="s">
        <v>609</v>
      </c>
      <c r="B124" s="274"/>
      <c r="C124" s="340"/>
      <c r="D124" s="276"/>
      <c r="E124" s="340"/>
      <c r="F124" s="276">
        <f>B6</f>
        <v>24.789352477323941</v>
      </c>
      <c r="G124" s="340">
        <f>C6</f>
        <v>24.789352477323941</v>
      </c>
      <c r="H124" s="237">
        <f>Budget!B494*25</f>
        <v>0</v>
      </c>
      <c r="I124" s="238">
        <f>Budget!G494*25</f>
        <v>0</v>
      </c>
    </row>
    <row r="125" spans="1:20" ht="13.5" thickBot="1">
      <c r="A125" s="281" t="s">
        <v>292</v>
      </c>
      <c r="B125" s="341">
        <f t="shared" ref="B125:I125" si="4">SUM(B120:B124)</f>
        <v>0</v>
      </c>
      <c r="C125" s="342">
        <f t="shared" si="4"/>
        <v>0</v>
      </c>
      <c r="D125" s="341">
        <f t="shared" si="4"/>
        <v>0</v>
      </c>
      <c r="E125" s="342">
        <f t="shared" si="4"/>
        <v>0</v>
      </c>
      <c r="F125" s="341">
        <f t="shared" si="4"/>
        <v>24.789352477323941</v>
      </c>
      <c r="G125" s="342">
        <f t="shared" si="4"/>
        <v>24.789352477323941</v>
      </c>
      <c r="H125" s="345">
        <f t="shared" si="4"/>
        <v>0</v>
      </c>
      <c r="I125" s="346">
        <f t="shared" si="4"/>
        <v>0</v>
      </c>
    </row>
    <row r="127" spans="1:20">
      <c r="A127" s="349"/>
      <c r="B127" s="350"/>
      <c r="C127" s="1442" t="s">
        <v>611</v>
      </c>
      <c r="D127" s="1443"/>
      <c r="E127" s="1443"/>
      <c r="F127" s="1443"/>
      <c r="G127" s="1443"/>
      <c r="H127" s="1443"/>
      <c r="I127" s="1443"/>
      <c r="J127" s="1443"/>
      <c r="K127" s="1443"/>
      <c r="L127" s="1443"/>
      <c r="M127" s="1443"/>
      <c r="N127" s="1443"/>
      <c r="O127" s="1443"/>
      <c r="P127" s="1443"/>
      <c r="Q127" s="1443"/>
      <c r="R127" s="1443"/>
      <c r="S127" s="1444"/>
    </row>
    <row r="128" spans="1:20">
      <c r="A128" s="351" t="s">
        <v>613</v>
      </c>
      <c r="B128" s="352"/>
      <c r="C128" s="262">
        <v>1994</v>
      </c>
      <c r="D128" s="262">
        <v>1995</v>
      </c>
      <c r="E128" s="262">
        <v>1996</v>
      </c>
      <c r="F128" s="262">
        <v>1997</v>
      </c>
      <c r="G128" s="262">
        <v>1998</v>
      </c>
      <c r="H128" s="262">
        <v>1999</v>
      </c>
      <c r="I128" s="262">
        <v>2000</v>
      </c>
      <c r="J128" s="262">
        <v>2001</v>
      </c>
      <c r="K128" s="262">
        <v>2002</v>
      </c>
      <c r="L128" s="262">
        <v>2003</v>
      </c>
      <c r="M128" s="262">
        <v>2004</v>
      </c>
      <c r="N128" s="262">
        <v>2005</v>
      </c>
      <c r="O128" s="262">
        <v>2006</v>
      </c>
      <c r="P128" s="262">
        <v>2007</v>
      </c>
      <c r="Q128" s="262">
        <v>2008</v>
      </c>
      <c r="R128" s="262">
        <v>2009</v>
      </c>
      <c r="S128" s="262">
        <v>2010</v>
      </c>
    </row>
    <row r="129" spans="1:19">
      <c r="A129" s="265" t="s">
        <v>610</v>
      </c>
      <c r="B129" s="353"/>
      <c r="C129" s="354">
        <v>140.56</v>
      </c>
      <c r="D129" s="354">
        <v>171.12</v>
      </c>
      <c r="E129" s="354">
        <v>171.12</v>
      </c>
      <c r="F129" s="355">
        <v>171.1</v>
      </c>
      <c r="G129" s="354">
        <v>171.1</v>
      </c>
      <c r="H129" s="354">
        <v>171.1</v>
      </c>
      <c r="I129" s="266">
        <v>212.99</v>
      </c>
      <c r="J129" s="354">
        <v>285.08</v>
      </c>
      <c r="K129" s="356">
        <v>329.95</v>
      </c>
      <c r="L129" s="354">
        <v>329.95</v>
      </c>
      <c r="M129" s="354">
        <v>329.95</v>
      </c>
      <c r="N129" s="357">
        <v>250</v>
      </c>
      <c r="O129" s="357">
        <v>250</v>
      </c>
      <c r="P129" s="358">
        <v>250</v>
      </c>
      <c r="Q129" s="43"/>
      <c r="R129" s="358"/>
      <c r="S129" s="358"/>
    </row>
    <row r="130" spans="1:19">
      <c r="A130" s="265" t="s">
        <v>615</v>
      </c>
      <c r="B130" s="353"/>
      <c r="C130" s="354">
        <v>91.67</v>
      </c>
      <c r="D130" s="354">
        <v>110.02</v>
      </c>
      <c r="E130" s="354">
        <v>110.02</v>
      </c>
      <c r="F130" s="355">
        <v>110.02</v>
      </c>
      <c r="G130" s="354">
        <v>110.02</v>
      </c>
      <c r="H130" s="354">
        <v>110.02</v>
      </c>
      <c r="I130" s="266">
        <v>159.99</v>
      </c>
      <c r="J130" s="354">
        <v>184.98</v>
      </c>
      <c r="K130" s="266">
        <v>209.99</v>
      </c>
      <c r="L130" s="354">
        <v>209.99</v>
      </c>
      <c r="M130" s="354">
        <v>209.99</v>
      </c>
      <c r="N130" s="359">
        <v>0</v>
      </c>
      <c r="O130" s="359">
        <v>0</v>
      </c>
      <c r="P130" s="358">
        <v>0</v>
      </c>
      <c r="Q130" s="43"/>
      <c r="R130" s="358"/>
      <c r="S130" s="358"/>
    </row>
    <row r="131" spans="1:19">
      <c r="A131" s="265" t="s">
        <v>616</v>
      </c>
      <c r="B131" s="353"/>
      <c r="C131" s="354">
        <v>23475.52</v>
      </c>
      <c r="D131" s="354">
        <v>24417.51</v>
      </c>
      <c r="E131" s="354">
        <v>24417.51</v>
      </c>
      <c r="F131" s="355">
        <v>24789.35</v>
      </c>
      <c r="G131" s="354">
        <v>26276.71</v>
      </c>
      <c r="H131" s="354">
        <v>23921.73</v>
      </c>
      <c r="I131" s="266">
        <v>22483.94</v>
      </c>
      <c r="J131" s="354">
        <v>24516.67</v>
      </c>
      <c r="K131" s="266">
        <v>25037.25</v>
      </c>
      <c r="L131" s="354">
        <v>23109.38</v>
      </c>
      <c r="M131" s="266">
        <v>25096.74</v>
      </c>
      <c r="N131" s="354">
        <v>22888.26</v>
      </c>
      <c r="O131" s="512">
        <v>23735.13</v>
      </c>
      <c r="P131" s="358">
        <v>23735.13</v>
      </c>
      <c r="Q131" s="43"/>
      <c r="R131" s="358"/>
      <c r="S131" s="358"/>
    </row>
    <row r="132" spans="1:19">
      <c r="A132" s="265" t="s">
        <v>617</v>
      </c>
      <c r="B132" s="353"/>
      <c r="C132" s="358">
        <v>0</v>
      </c>
      <c r="D132" s="358">
        <v>0.01</v>
      </c>
      <c r="E132" s="358">
        <v>0.01</v>
      </c>
      <c r="F132" s="360">
        <v>0.01</v>
      </c>
      <c r="G132" s="358">
        <v>0.01</v>
      </c>
      <c r="H132" s="358">
        <v>0</v>
      </c>
      <c r="I132" s="43">
        <v>0.01</v>
      </c>
      <c r="J132" s="358">
        <v>0</v>
      </c>
      <c r="K132" s="43">
        <v>0</v>
      </c>
      <c r="L132" s="358">
        <v>0.01</v>
      </c>
      <c r="M132" s="43">
        <v>0.01</v>
      </c>
      <c r="N132" s="358">
        <v>0</v>
      </c>
      <c r="O132" s="358">
        <v>0</v>
      </c>
      <c r="P132" s="358">
        <v>0</v>
      </c>
      <c r="Q132" s="43"/>
      <c r="R132" s="358"/>
      <c r="S132" s="358"/>
    </row>
    <row r="133" spans="1:19">
      <c r="A133" s="265" t="s">
        <v>618</v>
      </c>
      <c r="B133" s="353"/>
      <c r="C133" s="358">
        <v>0.96499999999999997</v>
      </c>
      <c r="D133" s="358">
        <v>0.96</v>
      </c>
      <c r="E133" s="358">
        <v>0.97</v>
      </c>
      <c r="F133" s="360">
        <v>0.96</v>
      </c>
      <c r="G133" s="358">
        <v>0.96</v>
      </c>
      <c r="H133" s="358">
        <v>0.95</v>
      </c>
      <c r="I133" s="43">
        <v>0.93</v>
      </c>
      <c r="J133" s="358">
        <v>0.93</v>
      </c>
      <c r="K133" s="43">
        <v>0.94</v>
      </c>
      <c r="L133" s="358">
        <v>0.95</v>
      </c>
      <c r="M133" s="358">
        <v>0.96</v>
      </c>
      <c r="N133" s="358">
        <v>0.97</v>
      </c>
      <c r="O133" s="358">
        <v>0.96</v>
      </c>
      <c r="P133" s="358">
        <v>1</v>
      </c>
      <c r="Q133" s="43"/>
      <c r="R133" s="358"/>
      <c r="S133" s="358"/>
    </row>
    <row r="134" spans="1:19">
      <c r="A134" s="265" t="s">
        <v>619</v>
      </c>
      <c r="B134" s="353"/>
      <c r="C134" s="354">
        <v>17305.45</v>
      </c>
      <c r="D134" s="354">
        <v>18277.189999999999</v>
      </c>
      <c r="E134" s="354">
        <v>18978.73</v>
      </c>
      <c r="F134" s="355">
        <v>19598.46</v>
      </c>
      <c r="G134" s="354">
        <v>18740.75</v>
      </c>
      <c r="H134" s="354">
        <v>19043.18</v>
      </c>
      <c r="I134" s="266">
        <v>20550.37</v>
      </c>
      <c r="J134" s="354">
        <v>20178.53</v>
      </c>
      <c r="K134" s="266">
        <v>20671.84</v>
      </c>
      <c r="L134" s="354">
        <v>22798</v>
      </c>
      <c r="M134" s="355">
        <v>21671</v>
      </c>
      <c r="N134" s="354">
        <v>22888.01</v>
      </c>
      <c r="O134" s="512">
        <v>23735.13</v>
      </c>
      <c r="P134" s="358"/>
      <c r="Q134" s="43"/>
      <c r="R134" s="358"/>
      <c r="S134" s="358"/>
    </row>
    <row r="135" spans="1:19">
      <c r="A135" s="265" t="s">
        <v>620</v>
      </c>
      <c r="B135" s="353"/>
      <c r="C135" s="354"/>
      <c r="D135" s="354">
        <v>18277.189999999999</v>
      </c>
      <c r="E135" s="354">
        <v>18978.73</v>
      </c>
      <c r="F135" s="355">
        <v>19598.46</v>
      </c>
      <c r="G135" s="354">
        <v>18740.75</v>
      </c>
      <c r="H135" s="354">
        <v>19043.18</v>
      </c>
      <c r="I135" s="266">
        <v>20550.37</v>
      </c>
      <c r="J135" s="354">
        <v>20178.53</v>
      </c>
      <c r="K135" s="266">
        <v>20671.84</v>
      </c>
      <c r="L135" s="354">
        <v>22798</v>
      </c>
      <c r="M135" s="355">
        <v>21671</v>
      </c>
      <c r="N135" s="354">
        <v>22888.01</v>
      </c>
      <c r="O135" s="512">
        <v>23735.13</v>
      </c>
      <c r="P135" s="358"/>
      <c r="Q135" s="43"/>
      <c r="R135" s="358"/>
      <c r="S135" s="358"/>
    </row>
    <row r="136" spans="1:19">
      <c r="A136" s="353" t="s">
        <v>910</v>
      </c>
      <c r="B136" s="361"/>
      <c r="C136" s="354"/>
      <c r="D136" s="354"/>
      <c r="E136" s="354"/>
      <c r="F136" s="355"/>
      <c r="G136" s="354">
        <v>23666.39</v>
      </c>
      <c r="H136" s="354">
        <v>23921.73</v>
      </c>
      <c r="I136" s="266">
        <v>24888.51</v>
      </c>
      <c r="J136" s="354">
        <v>24615.83</v>
      </c>
      <c r="K136" s="356">
        <v>23485.43</v>
      </c>
      <c r="L136" s="354">
        <v>22798</v>
      </c>
      <c r="M136" s="266">
        <v>21671</v>
      </c>
      <c r="N136" s="354">
        <v>22888.01</v>
      </c>
      <c r="O136" s="512">
        <v>23735.13</v>
      </c>
      <c r="P136" s="358"/>
      <c r="Q136" s="43"/>
      <c r="R136" s="358"/>
      <c r="S136" s="358"/>
    </row>
    <row r="137" spans="1:19">
      <c r="A137" s="353" t="s">
        <v>911</v>
      </c>
      <c r="B137" s="362"/>
      <c r="C137" s="354">
        <v>17878.080000000002</v>
      </c>
      <c r="D137" s="354">
        <v>19459.64</v>
      </c>
      <c r="E137" s="354">
        <v>20699.11</v>
      </c>
      <c r="F137" s="355">
        <v>21105.65</v>
      </c>
      <c r="G137" s="354">
        <v>20545.419999999998</v>
      </c>
      <c r="H137" s="354">
        <v>20994.1</v>
      </c>
      <c r="I137" s="356">
        <v>21517.16</v>
      </c>
      <c r="J137" s="354">
        <v>21294.05</v>
      </c>
      <c r="K137" s="356">
        <v>20287.61</v>
      </c>
      <c r="L137" s="354">
        <v>22798</v>
      </c>
      <c r="M137" s="355">
        <v>21671</v>
      </c>
      <c r="N137" s="354">
        <v>22888.01</v>
      </c>
      <c r="O137" s="512">
        <v>23735.13</v>
      </c>
      <c r="P137" s="358"/>
      <c r="R137" s="358"/>
      <c r="S137" s="358"/>
    </row>
    <row r="138" spans="1:19">
      <c r="A138" s="353" t="s">
        <v>912</v>
      </c>
      <c r="B138" s="362"/>
      <c r="C138" s="354"/>
      <c r="D138" s="354"/>
      <c r="E138" s="354"/>
      <c r="F138" s="355"/>
      <c r="G138" s="354">
        <v>23559.8</v>
      </c>
      <c r="H138" s="354">
        <v>23921.73</v>
      </c>
      <c r="I138" s="266">
        <v>23351.57</v>
      </c>
      <c r="J138" s="354">
        <v>22533.52</v>
      </c>
      <c r="K138" s="266">
        <v>21903.87</v>
      </c>
      <c r="L138" s="354">
        <v>22798</v>
      </c>
      <c r="M138" s="266">
        <v>21671</v>
      </c>
      <c r="N138" s="354">
        <v>22888.01</v>
      </c>
      <c r="O138" s="512">
        <v>23735.13</v>
      </c>
      <c r="P138" s="358"/>
      <c r="Q138" s="43"/>
      <c r="R138" s="358"/>
      <c r="S138" s="358"/>
    </row>
    <row r="139" spans="1:19">
      <c r="A139" s="353" t="s">
        <v>913</v>
      </c>
      <c r="B139" s="362"/>
      <c r="C139" s="354"/>
      <c r="D139" s="354"/>
      <c r="E139" s="354"/>
      <c r="F139" s="355"/>
      <c r="G139" s="354">
        <v>18792.810000000001</v>
      </c>
      <c r="H139" s="354">
        <v>19204.310000000001</v>
      </c>
      <c r="I139" s="266">
        <v>21665.89</v>
      </c>
      <c r="J139" s="354">
        <v>23252.41</v>
      </c>
      <c r="K139" s="266">
        <v>22974.77</v>
      </c>
      <c r="L139" s="354">
        <v>20685</v>
      </c>
      <c r="M139" s="266">
        <v>18864</v>
      </c>
      <c r="N139" s="354">
        <v>20515</v>
      </c>
      <c r="O139" s="354">
        <v>21995</v>
      </c>
      <c r="P139" s="358"/>
      <c r="Q139" s="43"/>
      <c r="R139" s="358"/>
      <c r="S139" s="358"/>
    </row>
    <row r="140" spans="1:19">
      <c r="A140" s="353" t="s">
        <v>914</v>
      </c>
      <c r="B140" s="362"/>
      <c r="C140" s="354"/>
      <c r="D140" s="354"/>
      <c r="E140" s="354"/>
      <c r="F140" s="355"/>
      <c r="G140" s="354">
        <v>18785.37</v>
      </c>
      <c r="H140" s="354">
        <v>18512.689999999999</v>
      </c>
      <c r="I140" s="266">
        <v>18839.91</v>
      </c>
      <c r="J140" s="354">
        <v>19484.43</v>
      </c>
      <c r="K140" s="266">
        <v>19635.650000000001</v>
      </c>
      <c r="L140" s="354">
        <v>18359</v>
      </c>
      <c r="M140" s="266">
        <v>21259</v>
      </c>
      <c r="N140" s="354">
        <v>18891.990000000002</v>
      </c>
      <c r="O140" s="354">
        <v>19264</v>
      </c>
      <c r="P140" s="358"/>
      <c r="Q140" s="43"/>
      <c r="R140" s="358"/>
      <c r="S140" s="358"/>
    </row>
    <row r="141" spans="1:19">
      <c r="A141" s="353" t="s">
        <v>917</v>
      </c>
      <c r="B141" s="362"/>
      <c r="C141" s="354"/>
      <c r="D141" s="354"/>
      <c r="E141" s="354"/>
      <c r="F141" s="355"/>
      <c r="G141" s="354">
        <v>13354.02</v>
      </c>
      <c r="H141" s="354">
        <v>13926.66</v>
      </c>
      <c r="I141" s="266">
        <v>16584.080000000002</v>
      </c>
      <c r="J141" s="354">
        <v>18567.23</v>
      </c>
      <c r="K141" s="266">
        <v>18673.82</v>
      </c>
      <c r="L141" s="354">
        <v>20685</v>
      </c>
      <c r="M141" s="266">
        <v>18864</v>
      </c>
      <c r="N141" s="354">
        <v>20515</v>
      </c>
      <c r="O141" s="354">
        <v>21995</v>
      </c>
      <c r="P141" s="358"/>
      <c r="Q141" s="43"/>
      <c r="R141" s="358"/>
      <c r="S141" s="358"/>
    </row>
    <row r="142" spans="1:19">
      <c r="A142" s="353" t="s">
        <v>918</v>
      </c>
      <c r="B142" s="362"/>
      <c r="C142" s="354"/>
      <c r="D142" s="354"/>
      <c r="E142" s="354"/>
      <c r="F142" s="355"/>
      <c r="G142" s="354">
        <v>18785.37</v>
      </c>
      <c r="H142" s="354">
        <v>13926.66</v>
      </c>
      <c r="I142" s="266">
        <v>16584.080000000002</v>
      </c>
      <c r="J142" s="354">
        <v>18567.23</v>
      </c>
      <c r="K142" s="266">
        <v>18673.82</v>
      </c>
      <c r="L142" s="354">
        <v>18359</v>
      </c>
      <c r="M142" s="266">
        <v>21259</v>
      </c>
      <c r="N142" s="354">
        <v>18891.990000000002</v>
      </c>
      <c r="O142" s="354">
        <v>19264</v>
      </c>
      <c r="P142" s="358"/>
      <c r="Q142" s="43"/>
      <c r="R142" s="358"/>
      <c r="S142" s="358"/>
    </row>
    <row r="143" spans="1:19">
      <c r="A143" s="353" t="s">
        <v>919</v>
      </c>
      <c r="B143" s="362"/>
      <c r="C143" s="354"/>
      <c r="D143" s="354"/>
      <c r="E143" s="354"/>
      <c r="F143" s="355"/>
      <c r="G143" s="354">
        <v>11408.06</v>
      </c>
      <c r="H143" s="354">
        <v>12037.71</v>
      </c>
      <c r="I143" s="266">
        <v>14749.66</v>
      </c>
      <c r="J143" s="354">
        <v>16311.39</v>
      </c>
      <c r="K143" s="266">
        <v>16849.32</v>
      </c>
      <c r="L143" s="354">
        <v>16592</v>
      </c>
      <c r="M143" s="266">
        <v>18864</v>
      </c>
      <c r="N143" s="354">
        <v>20515</v>
      </c>
      <c r="O143" s="354">
        <v>21995</v>
      </c>
      <c r="P143" s="358"/>
      <c r="Q143" s="43"/>
      <c r="R143" s="358"/>
      <c r="S143" s="358"/>
    </row>
    <row r="144" spans="1:19">
      <c r="A144" s="353" t="s">
        <v>920</v>
      </c>
      <c r="B144" s="362"/>
      <c r="C144" s="354"/>
      <c r="D144" s="354"/>
      <c r="E144" s="354"/>
      <c r="F144" s="355"/>
      <c r="G144" s="354">
        <v>12451.69</v>
      </c>
      <c r="H144" s="354">
        <v>12873.11</v>
      </c>
      <c r="I144" s="266">
        <v>14749.66</v>
      </c>
      <c r="J144" s="354">
        <v>16311.39</v>
      </c>
      <c r="K144" s="266">
        <v>16849.32</v>
      </c>
      <c r="L144" s="354">
        <v>16592</v>
      </c>
      <c r="M144" s="266">
        <v>18864</v>
      </c>
      <c r="N144" s="354">
        <v>20515</v>
      </c>
      <c r="O144" s="354">
        <v>21995</v>
      </c>
      <c r="P144" s="358"/>
      <c r="Q144" s="43"/>
      <c r="R144" s="358"/>
      <c r="S144" s="358"/>
    </row>
    <row r="145" spans="1:19">
      <c r="A145" s="353" t="s">
        <v>915</v>
      </c>
      <c r="B145" s="363"/>
      <c r="C145" s="364"/>
      <c r="D145" s="364"/>
      <c r="E145" s="364"/>
      <c r="F145" s="365"/>
      <c r="G145" s="364">
        <v>16980.71</v>
      </c>
      <c r="H145" s="364">
        <v>17652.5</v>
      </c>
      <c r="I145" s="366">
        <v>18715.96</v>
      </c>
      <c r="J145" s="364">
        <v>18864.7</v>
      </c>
      <c r="K145" s="366">
        <v>19020.87</v>
      </c>
      <c r="L145" s="364">
        <v>18359</v>
      </c>
      <c r="M145" s="366">
        <v>21259</v>
      </c>
      <c r="N145" s="364">
        <v>18891.990000000002</v>
      </c>
      <c r="O145" s="364">
        <v>19264</v>
      </c>
      <c r="P145" s="61"/>
      <c r="Q145" s="367"/>
      <c r="R145" s="61"/>
      <c r="S145" s="61"/>
    </row>
    <row r="146" spans="1:19">
      <c r="A146" s="265" t="s">
        <v>1131</v>
      </c>
      <c r="B146" s="353"/>
      <c r="C146" s="354"/>
      <c r="D146" s="354"/>
      <c r="E146" s="354"/>
      <c r="F146" s="355"/>
      <c r="G146" s="354"/>
      <c r="H146" s="354"/>
      <c r="I146" s="266"/>
      <c r="J146" s="355"/>
      <c r="K146" s="355">
        <v>385.55</v>
      </c>
      <c r="L146" s="354"/>
      <c r="M146" s="354"/>
      <c r="N146" s="359"/>
      <c r="O146" s="43"/>
      <c r="P146" s="358"/>
      <c r="Q146" s="43"/>
      <c r="R146" s="358"/>
      <c r="S146" s="358"/>
    </row>
    <row r="147" spans="1:19">
      <c r="A147" s="265" t="s">
        <v>1132</v>
      </c>
      <c r="B147" s="353"/>
      <c r="C147" s="354"/>
      <c r="D147" s="354"/>
      <c r="E147" s="354"/>
      <c r="F147" s="355"/>
      <c r="G147" s="354"/>
      <c r="H147" s="354"/>
      <c r="I147" s="266"/>
      <c r="J147" s="354"/>
      <c r="K147" s="266">
        <v>405.73</v>
      </c>
      <c r="L147" s="354"/>
      <c r="M147" s="354"/>
      <c r="N147" s="359"/>
      <c r="O147" s="43"/>
      <c r="P147" s="358"/>
      <c r="Q147" s="43"/>
      <c r="R147" s="358"/>
      <c r="S147" s="358"/>
    </row>
    <row r="148" spans="1:19">
      <c r="A148" s="361" t="s">
        <v>1133</v>
      </c>
      <c r="B148" s="353"/>
      <c r="C148" s="354"/>
      <c r="D148" s="354"/>
      <c r="E148" s="354"/>
      <c r="F148" s="355"/>
      <c r="G148" s="354"/>
      <c r="H148" s="354"/>
      <c r="I148" s="266"/>
      <c r="J148" s="354"/>
      <c r="K148" s="356"/>
      <c r="L148" s="354"/>
      <c r="M148" s="354"/>
      <c r="N148" s="359"/>
      <c r="O148" s="43"/>
      <c r="P148" s="358"/>
      <c r="Q148" s="43"/>
      <c r="R148" s="358"/>
      <c r="S148" s="358"/>
    </row>
    <row r="149" spans="1:19">
      <c r="A149" s="265" t="s">
        <v>1130</v>
      </c>
      <c r="B149" s="353"/>
      <c r="C149" s="354"/>
      <c r="D149" s="354"/>
      <c r="E149" s="354"/>
      <c r="F149" s="355"/>
      <c r="G149" s="354"/>
      <c r="H149" s="354"/>
      <c r="I149" s="266"/>
      <c r="J149" s="354"/>
      <c r="K149" s="266">
        <v>418.32</v>
      </c>
      <c r="L149" s="354"/>
      <c r="M149" s="354"/>
      <c r="N149" s="359"/>
      <c r="O149" s="43"/>
      <c r="P149" s="358"/>
      <c r="Q149" s="43"/>
      <c r="R149" s="358"/>
      <c r="S149" s="358"/>
    </row>
    <row r="150" spans="1:19">
      <c r="A150" s="265" t="s">
        <v>1134</v>
      </c>
      <c r="B150" s="353"/>
      <c r="C150" s="358"/>
      <c r="D150" s="358"/>
      <c r="E150" s="358"/>
      <c r="F150" s="360"/>
      <c r="G150" s="358"/>
      <c r="H150" s="358"/>
      <c r="I150" s="43"/>
      <c r="J150" s="358"/>
      <c r="K150" s="43"/>
      <c r="L150" s="358"/>
      <c r="M150" s="358"/>
      <c r="N150" s="368"/>
      <c r="O150" s="43"/>
      <c r="P150" s="358"/>
      <c r="Q150" s="43"/>
      <c r="R150" s="358"/>
      <c r="S150" s="358"/>
    </row>
    <row r="151" spans="1:19">
      <c r="A151" s="265" t="s">
        <v>1135</v>
      </c>
      <c r="B151" s="353"/>
      <c r="C151" s="358"/>
      <c r="D151" s="358"/>
      <c r="E151" s="358"/>
      <c r="F151" s="360"/>
      <c r="G151" s="358"/>
      <c r="H151" s="358"/>
      <c r="I151" s="43"/>
      <c r="J151" s="358"/>
      <c r="K151" s="43"/>
      <c r="L151" s="358"/>
      <c r="M151" s="358"/>
      <c r="N151" s="368"/>
      <c r="O151" s="43"/>
      <c r="P151" s="358"/>
      <c r="Q151" s="43"/>
      <c r="R151" s="358"/>
      <c r="S151" s="358"/>
    </row>
    <row r="152" spans="1:19">
      <c r="A152" s="265" t="s">
        <v>1136</v>
      </c>
      <c r="B152" s="353"/>
      <c r="C152" s="358"/>
      <c r="D152" s="358"/>
      <c r="E152" s="358"/>
      <c r="F152" s="360"/>
      <c r="G152" s="358"/>
      <c r="H152" s="358"/>
      <c r="I152" s="43"/>
      <c r="J152" s="358"/>
      <c r="K152" s="43"/>
      <c r="L152" s="358"/>
      <c r="M152" s="358"/>
      <c r="N152" s="368"/>
      <c r="O152" s="43"/>
      <c r="P152" s="358"/>
      <c r="Q152" s="43"/>
      <c r="R152" s="358"/>
      <c r="S152" s="358"/>
    </row>
    <row r="153" spans="1:19">
      <c r="A153" s="265" t="s">
        <v>1137</v>
      </c>
      <c r="B153" s="353"/>
      <c r="C153" s="358"/>
      <c r="D153" s="358"/>
      <c r="E153" s="358"/>
      <c r="F153" s="360"/>
      <c r="G153" s="358"/>
      <c r="H153" s="358"/>
      <c r="I153" s="43"/>
      <c r="J153" s="358"/>
      <c r="K153" s="43"/>
      <c r="L153" s="358"/>
      <c r="M153" s="358"/>
      <c r="N153" s="368"/>
      <c r="O153" s="43"/>
      <c r="P153" s="358"/>
      <c r="Q153" s="43"/>
      <c r="R153" s="358"/>
      <c r="S153" s="358"/>
    </row>
    <row r="154" spans="1:19">
      <c r="A154" s="265" t="s">
        <v>1138</v>
      </c>
      <c r="B154" s="353"/>
      <c r="C154" s="358"/>
      <c r="D154" s="358"/>
      <c r="E154" s="358"/>
      <c r="F154" s="360"/>
      <c r="G154" s="358"/>
      <c r="H154" s="358"/>
      <c r="I154" s="43"/>
      <c r="J154" s="358"/>
      <c r="K154" s="43"/>
      <c r="L154" s="358"/>
      <c r="M154" s="358"/>
      <c r="N154" s="368"/>
      <c r="O154" s="43"/>
      <c r="P154" s="358"/>
      <c r="Q154" s="43"/>
      <c r="R154" s="358"/>
      <c r="S154" s="358"/>
    </row>
    <row r="155" spans="1:19">
      <c r="A155" s="265" t="s">
        <v>1139</v>
      </c>
      <c r="B155" s="353"/>
      <c r="C155" s="358"/>
      <c r="D155" s="358"/>
      <c r="E155" s="358"/>
      <c r="F155" s="360"/>
      <c r="G155" s="358"/>
      <c r="H155" s="358"/>
      <c r="I155" s="43"/>
      <c r="J155" s="358"/>
      <c r="K155" s="43"/>
      <c r="L155" s="358"/>
      <c r="M155" s="358"/>
      <c r="N155" s="368"/>
      <c r="O155" s="43"/>
      <c r="P155" s="358"/>
      <c r="Q155" s="43"/>
      <c r="R155" s="358"/>
      <c r="S155" s="358"/>
    </row>
    <row r="156" spans="1:19">
      <c r="A156" s="265" t="s">
        <v>1140</v>
      </c>
      <c r="B156" s="353"/>
      <c r="C156" s="358"/>
      <c r="D156" s="358"/>
      <c r="E156" s="358"/>
      <c r="F156" s="360"/>
      <c r="G156" s="358"/>
      <c r="H156" s="358"/>
      <c r="I156" s="43"/>
      <c r="J156" s="358"/>
      <c r="K156" s="43"/>
      <c r="L156" s="358"/>
      <c r="M156" s="358"/>
      <c r="N156" s="368"/>
      <c r="O156" s="43"/>
      <c r="P156" s="358"/>
      <c r="Q156" s="43"/>
      <c r="R156" s="358"/>
      <c r="S156" s="358"/>
    </row>
    <row r="157" spans="1:19">
      <c r="A157" s="265" t="s">
        <v>1141</v>
      </c>
      <c r="B157" s="353"/>
      <c r="C157" s="358"/>
      <c r="D157" s="358"/>
      <c r="E157" s="358"/>
      <c r="F157" s="360"/>
      <c r="G157" s="358"/>
      <c r="H157" s="358"/>
      <c r="I157" s="43"/>
      <c r="J157" s="358"/>
      <c r="K157" s="43"/>
      <c r="L157" s="358"/>
      <c r="M157" s="358"/>
      <c r="N157" s="368"/>
      <c r="O157" s="43"/>
      <c r="P157" s="358"/>
      <c r="Q157" s="43"/>
      <c r="R157" s="358"/>
      <c r="S157" s="358"/>
    </row>
    <row r="158" spans="1:19" ht="13.5" thickBot="1"/>
    <row r="159" spans="1:19" ht="13.5" thickBot="1">
      <c r="A159" s="245" t="s">
        <v>621</v>
      </c>
      <c r="B159" s="292"/>
      <c r="C159" s="292"/>
      <c r="D159" s="293"/>
    </row>
    <row r="160" spans="1:19" ht="13.5" thickBot="1">
      <c r="A160" s="369"/>
      <c r="B160" s="85"/>
      <c r="C160" s="370" t="s">
        <v>83</v>
      </c>
      <c r="D160" s="371" t="s">
        <v>82</v>
      </c>
      <c r="K160" s="26" t="e">
        <f>VLOOKUP(Budget!G972,A215:F217,3,)</f>
        <v>#N/A</v>
      </c>
    </row>
    <row r="161" spans="1:8" ht="13.5" thickBot="1">
      <c r="A161" s="372" t="s">
        <v>610</v>
      </c>
      <c r="B161" s="265"/>
      <c r="C161" s="344" t="e">
        <f xml:space="preserve"> IF(ISBLANK(HLOOKUP(Budget!O11,ANNEE,2,FALSE)),HLOOKUP(Budget!O10,ANNEE,2,FALSE),HLOOKUP(Budget!O11,ANNEE,2,FALSE))</f>
        <v>#N/A</v>
      </c>
      <c r="D161" s="320" t="e">
        <f>HLOOKUP(Budget!O10,ANNEE,2,FALSE)</f>
        <v>#N/A</v>
      </c>
      <c r="H161" s="373" t="e">
        <f>MATCH("PAC " &amp; Budget!J12,A128:A157,0)</f>
        <v>#N/A</v>
      </c>
    </row>
    <row r="162" spans="1:8">
      <c r="A162" s="372" t="s">
        <v>615</v>
      </c>
      <c r="B162" s="265"/>
      <c r="C162" s="43" t="e">
        <f>IF(ISBLANK(HLOOKUP(Budget!O11,ANNEE,3,FALSE)),HLOOKUP(Budget!O10,ANNEE,3,FALSE),HLOOKUP(Budget!O11,ANNEE,3,FALSE))</f>
        <v>#N/A</v>
      </c>
      <c r="D162" s="324" t="e">
        <f>HLOOKUP(Budget!O10,ANNEE,3,FALSE)</f>
        <v>#N/A</v>
      </c>
    </row>
    <row r="163" spans="1:8">
      <c r="A163" s="372" t="s">
        <v>1122</v>
      </c>
      <c r="B163" s="265"/>
      <c r="C163" s="358" t="e">
        <f>IF(ISBLANK(HLOOKUP(Budget!O11,ANNEE,MATCH("PAC " &amp; Budget!J12,A128:A157,0),FALSE)),HLOOKUP(Budget!O10,ANNEE,MATCH("PAC " &amp; Budget!J12,A128:A157,0),FALSE),HLOOKUP(Budget!O11,ANNEE,MATCH("PAC " &amp; Budget!J12,A128:A157,0),FALSE))</f>
        <v>#N/A</v>
      </c>
      <c r="D163" s="300" t="e">
        <f>HLOOKUP(Budget!O10,ANNEE,MATCH("PAC " &amp; Budget!J12,A128:A157,0),FALSE)</f>
        <v>#N/A</v>
      </c>
    </row>
    <row r="164" spans="1:8">
      <c r="A164" s="372" t="s">
        <v>616</v>
      </c>
      <c r="B164" s="265"/>
      <c r="C164" s="43" t="e">
        <f>HLOOKUP(Budget!O11,ANNEE,4,FALSE)</f>
        <v>#N/A</v>
      </c>
      <c r="D164" s="324" t="e">
        <f>HLOOKUP(D168,ANNEE,4,FALSE)</f>
        <v>#N/A</v>
      </c>
    </row>
    <row r="165" spans="1:8">
      <c r="A165" s="372" t="s">
        <v>921</v>
      </c>
      <c r="B165" s="265"/>
      <c r="C165" s="43" t="e">
        <f>HLOOKUP(Budget!O11,ANNEE,MATCH("Revenu seuil " &amp; Budget!J12,A128:A157,0),FALSE)</f>
        <v>#N/A</v>
      </c>
      <c r="D165" s="324" t="e">
        <f>HLOOKUP(D168,ANNEE,MATCH("Revenu seuil " &amp; Budget!J12,A128:A157,0),FALSE)</f>
        <v>#N/A</v>
      </c>
    </row>
    <row r="166" spans="1:8">
      <c r="A166" s="372" t="s">
        <v>617</v>
      </c>
      <c r="B166" s="265"/>
      <c r="C166" s="43" t="e">
        <f>HLOOKUP(Budget!O11,ANNEE,5,FALSE)</f>
        <v>#N/A</v>
      </c>
      <c r="D166" s="324" t="e">
        <f>HLOOKUP(D168,ANNEE,5,FALSE)</f>
        <v>#N/A</v>
      </c>
    </row>
    <row r="167" spans="1:8">
      <c r="A167" s="372" t="s">
        <v>618</v>
      </c>
      <c r="B167" s="265"/>
      <c r="C167" s="43" t="e">
        <f>HLOOKUP(D168,ANNEE,6,FALSE)</f>
        <v>#N/A</v>
      </c>
      <c r="D167" s="324" t="e">
        <f>HLOOKUP(D168,ANNEE,6,FALSE)</f>
        <v>#N/A</v>
      </c>
    </row>
    <row r="168" spans="1:8" ht="13.5" thickBot="1">
      <c r="A168" s="374" t="s">
        <v>1043</v>
      </c>
      <c r="B168" s="375"/>
      <c r="C168" s="376"/>
      <c r="D168" s="302" t="str">
        <f>Budget!O10</f>
        <v/>
      </c>
    </row>
    <row r="169" spans="1:8" ht="13.5" thickBot="1"/>
    <row r="170" spans="1:8">
      <c r="A170" s="377" t="s">
        <v>622</v>
      </c>
      <c r="B170" s="378"/>
      <c r="C170" s="378"/>
      <c r="D170" s="378"/>
      <c r="E170" s="378"/>
      <c r="F170" s="379"/>
    </row>
    <row r="171" spans="1:8" ht="13.5" thickBot="1">
      <c r="A171" s="380" t="s">
        <v>623</v>
      </c>
      <c r="B171" s="381" t="s">
        <v>624</v>
      </c>
      <c r="C171" s="382"/>
      <c r="D171" s="383" t="s">
        <v>177</v>
      </c>
      <c r="E171" s="384" t="s">
        <v>625</v>
      </c>
      <c r="F171" s="385" t="s">
        <v>626</v>
      </c>
    </row>
    <row r="172" spans="1:8">
      <c r="A172" s="386" t="s">
        <v>627</v>
      </c>
      <c r="B172" s="387" t="s">
        <v>628</v>
      </c>
      <c r="C172" s="388"/>
      <c r="D172" s="389">
        <f>Budget!G74+Budget!G75</f>
        <v>0</v>
      </c>
      <c r="E172" s="390">
        <v>1</v>
      </c>
      <c r="F172" s="391">
        <f>D172*E172</f>
        <v>0</v>
      </c>
    </row>
    <row r="173" spans="1:8">
      <c r="A173" s="392" t="s">
        <v>629</v>
      </c>
      <c r="B173" s="393" t="s">
        <v>630</v>
      </c>
      <c r="C173" s="394"/>
      <c r="D173" s="395"/>
      <c r="E173" s="396">
        <v>1</v>
      </c>
      <c r="F173" s="397">
        <f t="shared" ref="F173:F188" si="5">D173*E173</f>
        <v>0</v>
      </c>
    </row>
    <row r="174" spans="1:8">
      <c r="A174" s="398" t="s">
        <v>631</v>
      </c>
      <c r="B174" s="399" t="s">
        <v>632</v>
      </c>
      <c r="C174" s="400"/>
      <c r="D174" s="360">
        <f>Budget!G25</f>
        <v>0</v>
      </c>
      <c r="E174" s="401">
        <v>0.1</v>
      </c>
      <c r="F174" s="402">
        <f t="shared" si="5"/>
        <v>0</v>
      </c>
    </row>
    <row r="175" spans="1:8">
      <c r="A175" s="392" t="s">
        <v>633</v>
      </c>
      <c r="B175" s="393" t="s">
        <v>634</v>
      </c>
      <c r="C175" s="394"/>
      <c r="D175" s="360">
        <f>Budget!G33</f>
        <v>0</v>
      </c>
      <c r="E175" s="396">
        <v>0.1</v>
      </c>
      <c r="F175" s="397">
        <f t="shared" si="5"/>
        <v>0</v>
      </c>
    </row>
    <row r="176" spans="1:8">
      <c r="A176" s="392" t="s">
        <v>635</v>
      </c>
      <c r="B176" s="393" t="s">
        <v>636</v>
      </c>
      <c r="C176" s="394"/>
      <c r="D176" s="395">
        <f>Budget!G30</f>
        <v>0</v>
      </c>
      <c r="E176" s="396">
        <v>1</v>
      </c>
      <c r="F176" s="397">
        <f t="shared" si="5"/>
        <v>0</v>
      </c>
    </row>
    <row r="177" spans="1:6">
      <c r="A177" s="392" t="s">
        <v>637</v>
      </c>
      <c r="B177" s="393" t="s">
        <v>638</v>
      </c>
      <c r="C177" s="394"/>
      <c r="D177" s="395">
        <f>Budget!G31</f>
        <v>0</v>
      </c>
      <c r="E177" s="396">
        <v>0.8</v>
      </c>
      <c r="F177" s="397">
        <f t="shared" si="5"/>
        <v>0</v>
      </c>
    </row>
    <row r="178" spans="1:6">
      <c r="A178" s="392" t="s">
        <v>639</v>
      </c>
      <c r="B178" s="393" t="s">
        <v>640</v>
      </c>
      <c r="C178" s="394"/>
      <c r="D178" s="395">
        <f>Budget!G32</f>
        <v>0</v>
      </c>
      <c r="E178" s="396">
        <v>0.1</v>
      </c>
      <c r="F178" s="397">
        <f t="shared" si="5"/>
        <v>0</v>
      </c>
    </row>
    <row r="179" spans="1:6">
      <c r="A179" s="398" t="s">
        <v>641</v>
      </c>
      <c r="B179" s="399" t="str">
        <f>Budget!A26</f>
        <v>-Escourgeon</v>
      </c>
      <c r="C179" s="400"/>
      <c r="D179" s="360">
        <f>Budget!G26</f>
        <v>0</v>
      </c>
      <c r="E179" s="401">
        <v>0.9</v>
      </c>
      <c r="F179" s="402">
        <f t="shared" si="5"/>
        <v>0</v>
      </c>
    </row>
    <row r="180" spans="1:6">
      <c r="A180" s="392" t="s">
        <v>642</v>
      </c>
      <c r="B180" s="393"/>
      <c r="C180" s="394"/>
      <c r="D180" s="403"/>
      <c r="E180" s="404"/>
      <c r="F180" s="397"/>
    </row>
    <row r="181" spans="1:6">
      <c r="A181" s="392" t="s">
        <v>643</v>
      </c>
      <c r="B181" s="393" t="s">
        <v>644</v>
      </c>
      <c r="C181" s="394"/>
      <c r="D181" s="395">
        <f>Budget!G28</f>
        <v>0</v>
      </c>
      <c r="E181" s="396">
        <v>1</v>
      </c>
      <c r="F181" s="397">
        <f t="shared" si="5"/>
        <v>0</v>
      </c>
    </row>
    <row r="182" spans="1:6">
      <c r="A182" s="398" t="s">
        <v>645</v>
      </c>
      <c r="B182" s="399" t="s">
        <v>646</v>
      </c>
      <c r="C182" s="400"/>
      <c r="D182" s="360">
        <f>Budget!G36</f>
        <v>0</v>
      </c>
      <c r="E182" s="401">
        <v>0.3</v>
      </c>
      <c r="F182" s="402">
        <f t="shared" si="5"/>
        <v>0</v>
      </c>
    </row>
    <row r="183" spans="1:6">
      <c r="A183" s="405"/>
      <c r="B183" s="393" t="s">
        <v>647</v>
      </c>
      <c r="C183" s="394"/>
      <c r="D183" s="395">
        <f>Budget!G41</f>
        <v>0</v>
      </c>
      <c r="E183" s="396">
        <v>0.3</v>
      </c>
      <c r="F183" s="397">
        <f t="shared" si="5"/>
        <v>0</v>
      </c>
    </row>
    <row r="184" spans="1:6">
      <c r="A184" s="392" t="s">
        <v>648</v>
      </c>
      <c r="B184" s="393" t="s">
        <v>649</v>
      </c>
      <c r="C184" s="394"/>
      <c r="D184" s="395">
        <f>Budget!G77+Budget!G78</f>
        <v>0</v>
      </c>
      <c r="E184" s="396">
        <v>1</v>
      </c>
      <c r="F184" s="397">
        <f t="shared" si="5"/>
        <v>0</v>
      </c>
    </row>
    <row r="185" spans="1:6">
      <c r="A185" s="398" t="s">
        <v>650</v>
      </c>
      <c r="B185" s="399" t="s">
        <v>651</v>
      </c>
      <c r="C185" s="400"/>
      <c r="D185" s="360"/>
      <c r="E185" s="401">
        <v>1</v>
      </c>
      <c r="F185" s="402">
        <f t="shared" si="5"/>
        <v>0</v>
      </c>
    </row>
    <row r="186" spans="1:6">
      <c r="A186" s="398" t="s">
        <v>652</v>
      </c>
      <c r="B186" s="399" t="s">
        <v>548</v>
      </c>
      <c r="C186" s="400"/>
      <c r="D186" s="360"/>
      <c r="E186" s="406">
        <v>1</v>
      </c>
      <c r="F186" s="402">
        <f t="shared" si="5"/>
        <v>0</v>
      </c>
    </row>
    <row r="187" spans="1:6">
      <c r="A187" s="398" t="s">
        <v>653</v>
      </c>
      <c r="B187" s="399" t="s">
        <v>654</v>
      </c>
      <c r="C187" s="400"/>
      <c r="D187" s="395">
        <f>Budget!G82</f>
        <v>0</v>
      </c>
      <c r="E187" s="406">
        <v>1</v>
      </c>
      <c r="F187" s="402">
        <f t="shared" si="5"/>
        <v>0</v>
      </c>
    </row>
    <row r="188" spans="1:6">
      <c r="A188" s="392" t="s">
        <v>655</v>
      </c>
      <c r="B188" s="393" t="s">
        <v>656</v>
      </c>
      <c r="C188" s="394"/>
      <c r="D188" s="395">
        <f>Budget!G79+Budget!G80+Budget!G83+Budget!G85</f>
        <v>0</v>
      </c>
      <c r="E188" s="404">
        <v>1</v>
      </c>
      <c r="F188" s="402">
        <f t="shared" si="5"/>
        <v>0</v>
      </c>
    </row>
    <row r="189" spans="1:6">
      <c r="A189" s="392" t="s">
        <v>657</v>
      </c>
      <c r="B189" s="393" t="s">
        <v>558</v>
      </c>
      <c r="C189" s="394"/>
      <c r="D189" s="407">
        <f>SUM(Budget!G37:G40)</f>
        <v>0</v>
      </c>
      <c r="E189" s="396">
        <v>0.1</v>
      </c>
      <c r="F189" s="397">
        <f>D189*E189</f>
        <v>0</v>
      </c>
    </row>
    <row r="190" spans="1:6">
      <c r="A190" s="398" t="s">
        <v>658</v>
      </c>
      <c r="B190" s="408" t="s">
        <v>659</v>
      </c>
      <c r="C190" s="400"/>
      <c r="D190" s="360">
        <f>Budget!G162/100</f>
        <v>0</v>
      </c>
      <c r="E190" s="401">
        <v>0.2</v>
      </c>
      <c r="F190" s="402">
        <f>D190*E190</f>
        <v>0</v>
      </c>
    </row>
    <row r="191" spans="1:6">
      <c r="A191" s="405"/>
      <c r="B191" s="393" t="s">
        <v>660</v>
      </c>
      <c r="C191" s="394"/>
      <c r="D191" s="395"/>
      <c r="E191" s="404"/>
      <c r="F191" s="397"/>
    </row>
    <row r="192" spans="1:6">
      <c r="A192" s="405"/>
      <c r="B192" s="393" t="s">
        <v>1120</v>
      </c>
      <c r="C192" s="394"/>
      <c r="D192" s="395">
        <f>Budget!G53</f>
        <v>0</v>
      </c>
      <c r="E192" s="404">
        <v>0.1</v>
      </c>
      <c r="F192" s="397">
        <f>D192*E192</f>
        <v>0</v>
      </c>
    </row>
    <row r="193" spans="1:6">
      <c r="A193" s="405"/>
      <c r="B193" s="393" t="s">
        <v>1121</v>
      </c>
      <c r="C193" s="394"/>
      <c r="D193" s="395">
        <f>Budget!G54</f>
        <v>0</v>
      </c>
      <c r="E193" s="404">
        <v>1</v>
      </c>
      <c r="F193" s="397">
        <f>D193*E193</f>
        <v>0</v>
      </c>
    </row>
    <row r="194" spans="1:6">
      <c r="A194" s="405"/>
      <c r="B194" s="393" t="s">
        <v>1111</v>
      </c>
      <c r="C194" s="394"/>
      <c r="D194" s="395">
        <f>Budget!G86</f>
        <v>0</v>
      </c>
      <c r="E194" s="404">
        <v>1</v>
      </c>
      <c r="F194" s="397">
        <f>D194*E194</f>
        <v>0</v>
      </c>
    </row>
    <row r="195" spans="1:6">
      <c r="A195" s="405"/>
      <c r="B195" s="393" t="s">
        <v>1109</v>
      </c>
      <c r="C195" s="394"/>
      <c r="D195" s="395">
        <f>Budget!G87</f>
        <v>0</v>
      </c>
      <c r="E195" s="396">
        <v>1</v>
      </c>
      <c r="F195" s="397">
        <f>D195*E195</f>
        <v>0</v>
      </c>
    </row>
    <row r="196" spans="1:6" ht="13.5" thickBot="1">
      <c r="A196" s="299"/>
      <c r="B196" s="399" t="s">
        <v>1110</v>
      </c>
      <c r="C196" s="400"/>
      <c r="D196" s="395">
        <f>Budget!G104+Budget!G105</f>
        <v>0</v>
      </c>
      <c r="E196" s="401">
        <v>1</v>
      </c>
      <c r="F196" s="397">
        <f>D196*E196</f>
        <v>0</v>
      </c>
    </row>
    <row r="197" spans="1:6" ht="13.5" thickBot="1">
      <c r="A197" s="409" t="s">
        <v>292</v>
      </c>
      <c r="B197" s="410" t="s">
        <v>661</v>
      </c>
      <c r="C197" s="411"/>
      <c r="D197" s="412">
        <f>SUM(D172:D196)</f>
        <v>0</v>
      </c>
      <c r="E197" s="413" t="s">
        <v>291</v>
      </c>
      <c r="F197" s="346">
        <f>SUM(F172:F196)</f>
        <v>0</v>
      </c>
    </row>
    <row r="198" spans="1:6" ht="13.5" thickBot="1"/>
    <row r="199" spans="1:6" ht="13.5" thickBot="1">
      <c r="A199" s="245" t="s">
        <v>662</v>
      </c>
      <c r="B199" s="292"/>
      <c r="C199" s="292"/>
      <c r="D199" s="293"/>
    </row>
    <row r="200" spans="1:6" ht="13.5" thickBot="1">
      <c r="A200" s="294"/>
      <c r="B200" s="414"/>
      <c r="C200" s="334" t="s">
        <v>82</v>
      </c>
      <c r="D200" s="335" t="s">
        <v>83</v>
      </c>
    </row>
    <row r="201" spans="1:6">
      <c r="A201" s="265" t="s">
        <v>663</v>
      </c>
      <c r="B201" s="265"/>
      <c r="C201" s="344">
        <f>V49</f>
        <v>0</v>
      </c>
      <c r="D201" s="320">
        <f>W49</f>
        <v>0</v>
      </c>
    </row>
    <row r="202" spans="1:6">
      <c r="A202" s="265" t="s">
        <v>664</v>
      </c>
      <c r="B202" s="265"/>
      <c r="C202" s="43">
        <f>R82</f>
        <v>0</v>
      </c>
      <c r="D202" s="324">
        <f>S82</f>
        <v>0</v>
      </c>
    </row>
    <row r="203" spans="1:6">
      <c r="A203" s="265" t="s">
        <v>665</v>
      </c>
      <c r="B203" s="265"/>
      <c r="C203" s="43" t="e">
        <f>V100</f>
        <v>#REF!</v>
      </c>
      <c r="D203" s="324" t="e">
        <f>X100</f>
        <v>#REF!</v>
      </c>
    </row>
    <row r="204" spans="1:6">
      <c r="A204" s="265" t="s">
        <v>666</v>
      </c>
      <c r="B204" s="265"/>
      <c r="C204" s="43">
        <f>B115</f>
        <v>0</v>
      </c>
      <c r="D204" s="324">
        <f>C115</f>
        <v>0</v>
      </c>
    </row>
    <row r="205" spans="1:6">
      <c r="A205" s="265" t="s">
        <v>667</v>
      </c>
      <c r="B205" s="265"/>
      <c r="C205" s="43">
        <f>H125+Budget!B555/300+Budget!B588/220</f>
        <v>0</v>
      </c>
      <c r="D205" s="324">
        <f>I125+Budget!G555/300+Budget!G588/220</f>
        <v>0</v>
      </c>
    </row>
    <row r="206" spans="1:6" ht="13.5" thickBot="1">
      <c r="A206" s="265" t="s">
        <v>668</v>
      </c>
      <c r="B206" s="265"/>
      <c r="C206" s="301">
        <v>0</v>
      </c>
      <c r="D206" s="238">
        <v>0</v>
      </c>
    </row>
    <row r="207" spans="1:6" ht="13.5" thickBot="1">
      <c r="A207" s="415" t="s">
        <v>669</v>
      </c>
      <c r="B207" s="416"/>
      <c r="C207" s="417" t="e">
        <f>SUM(C201:C206)</f>
        <v>#REF!</v>
      </c>
      <c r="D207" s="418" t="e">
        <f>SUM(D201:D206)</f>
        <v>#REF!</v>
      </c>
    </row>
    <row r="208" spans="1:6" ht="13.5" thickBot="1">
      <c r="A208" s="419" t="s">
        <v>670</v>
      </c>
      <c r="B208" s="420"/>
      <c r="C208" s="345" t="e">
        <f>C207/1800</f>
        <v>#REF!</v>
      </c>
      <c r="D208" s="346" t="e">
        <f>D207/1800</f>
        <v>#REF!</v>
      </c>
    </row>
    <row r="211" spans="1:6" ht="13.5" thickBot="1"/>
    <row r="212" spans="1:6">
      <c r="A212" s="249"/>
      <c r="B212" s="250"/>
      <c r="C212" s="421" t="s">
        <v>610</v>
      </c>
      <c r="D212" s="421"/>
      <c r="E212" s="421"/>
      <c r="F212" s="422"/>
    </row>
    <row r="213" spans="1:6" ht="15">
      <c r="A213" s="369"/>
      <c r="B213" s="423"/>
      <c r="C213" s="424" t="s">
        <v>612</v>
      </c>
      <c r="D213" s="424"/>
      <c r="E213" s="424"/>
      <c r="F213" s="425"/>
    </row>
    <row r="214" spans="1:6" ht="15">
      <c r="A214" s="426" t="s">
        <v>614</v>
      </c>
      <c r="B214" s="427"/>
      <c r="C214" s="428">
        <v>1997</v>
      </c>
      <c r="D214" s="428">
        <v>1998</v>
      </c>
      <c r="E214" s="428">
        <v>1999</v>
      </c>
      <c r="F214" s="429">
        <v>2000</v>
      </c>
    </row>
    <row r="215" spans="1:6">
      <c r="A215" s="430">
        <v>5.72</v>
      </c>
      <c r="B215" s="431"/>
      <c r="C215" s="432">
        <v>171.1</v>
      </c>
      <c r="D215" s="432">
        <v>171.1</v>
      </c>
      <c r="E215" s="432">
        <v>171.1</v>
      </c>
      <c r="F215" s="433">
        <v>171.1</v>
      </c>
    </row>
    <row r="216" spans="1:6">
      <c r="A216" s="430"/>
      <c r="B216" s="431"/>
      <c r="C216" s="432">
        <v>207.54</v>
      </c>
      <c r="D216" s="432">
        <v>207.54</v>
      </c>
      <c r="E216" s="432">
        <v>207.54</v>
      </c>
      <c r="F216" s="433">
        <v>207.54</v>
      </c>
    </row>
    <row r="217" spans="1:6" ht="13.5" thickBot="1">
      <c r="A217" s="434">
        <v>0.57199999999999995</v>
      </c>
      <c r="B217" s="435"/>
      <c r="C217" s="436">
        <v>223.72</v>
      </c>
      <c r="D217" s="436">
        <v>223.72</v>
      </c>
      <c r="E217" s="436">
        <v>223.72</v>
      </c>
      <c r="F217" s="437">
        <v>223.72</v>
      </c>
    </row>
  </sheetData>
  <customSheetViews>
    <customSheetView guid="{0E119D24-1648-11D6-96DB-00A024CFB246}" hiddenRows="1" showRuler="0">
      <pane xSplit="1" ySplit="13" topLeftCell="B14" activePane="bottomRight" state="frozen"/>
      <selection pane="bottomRight" activeCell="B14" sqref="B14"/>
      <pageMargins left="0.78740157499999996" right="0.78740157499999996" top="0.984251969" bottom="0.984251969" header="0.4921259845" footer="0.4921259845"/>
      <pageSetup paperSize="9" orientation="landscape" blackAndWhite="1" horizontalDpi="300" verticalDpi="300" copies="0" r:id="rId1"/>
      <headerFooter alignWithMargins="0">
        <oddHeader>&amp;A</oddHeader>
        <oddFooter>Page &amp;P</oddFooter>
      </headerFooter>
    </customSheetView>
    <customSheetView guid="{666CE5F8-0F01-4246-8501-D3EAFC05BD86}" scale="70" fitToPage="1" hiddenRows="1" state="hidden" showRuler="0">
      <pane xSplit="1" ySplit="13" topLeftCell="M113" activePane="bottomRight" state="frozen"/>
      <selection pane="bottomRight" activeCell="O131" sqref="O131"/>
      <pageMargins left="0.2" right="0.26" top="0.72" bottom="0.984251969" header="0.4921259845" footer="0.4921259845"/>
      <pageSetup paperSize="9" scale="10" orientation="landscape" blackAndWhite="1" horizontalDpi="300" verticalDpi="300" r:id="rId2"/>
      <headerFooter alignWithMargins="0">
        <oddHeader>&amp;A</oddHeader>
        <oddFooter>Page &amp;P</oddFooter>
      </headerFooter>
    </customSheetView>
  </customSheetViews>
  <mergeCells count="1">
    <mergeCell ref="C127:S127"/>
  </mergeCells>
  <phoneticPr fontId="0" type="noConversion"/>
  <pageMargins left="0.2" right="0.26" top="0.72" bottom="0.984251969" header="0.4921259845" footer="0.4921259845"/>
  <pageSetup paperSize="9" scale="10" orientation="landscape" blackAndWhite="1" horizontalDpi="300" verticalDpi="300" r:id="rId3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R160"/>
  <sheetViews>
    <sheetView showGridLines="0" showZeros="0" topLeftCell="A65536" zoomScaleNormal="75" zoomScaleSheetLayoutView="75" workbookViewId="0">
      <selection sqref="A1:IV65536"/>
    </sheetView>
  </sheetViews>
  <sheetFormatPr baseColWidth="10" defaultRowHeight="12.75" zeroHeight="1"/>
  <cols>
    <col min="1" max="1" width="3.77734375" style="33" customWidth="1"/>
    <col min="2" max="2" width="16.44140625" style="33" customWidth="1"/>
    <col min="3" max="3" width="6.44140625" style="33" customWidth="1"/>
    <col min="4" max="4" width="9.33203125" style="33" customWidth="1"/>
    <col min="5" max="5" width="6.6640625" style="33" customWidth="1"/>
    <col min="6" max="7" width="5.21875" style="33" customWidth="1"/>
    <col min="8" max="9" width="4.77734375" style="33" customWidth="1"/>
    <col min="10" max="10" width="13" style="33" customWidth="1"/>
    <col min="11" max="11" width="11.21875" style="33" customWidth="1"/>
    <col min="12" max="12" width="6.77734375" style="33" bestFit="1" customWidth="1"/>
    <col min="13" max="13" width="8.77734375" style="33" customWidth="1"/>
    <col min="14" max="14" width="9.5546875" style="33" customWidth="1"/>
    <col min="15" max="15" width="57.77734375" style="33" customWidth="1"/>
    <col min="16" max="16" width="3.21875" style="33" customWidth="1"/>
    <col min="17" max="17" width="11.5546875" style="33"/>
    <col min="18" max="18" width="3.21875" style="33" customWidth="1"/>
    <col min="19" max="16384" width="11.5546875" style="33"/>
  </cols>
  <sheetData>
    <row r="1" spans="1:18" ht="6.75" hidden="1" customHeight="1"/>
    <row r="2" spans="1:18" ht="6.75" hidden="1" customHeight="1"/>
    <row r="3" spans="1:18" ht="6.75" hidden="1" customHeight="1"/>
    <row r="4" spans="1:18" hidden="1">
      <c r="A4" s="71" t="s">
        <v>691</v>
      </c>
      <c r="B4" s="71"/>
      <c r="C4" s="71"/>
      <c r="D4" s="71"/>
      <c r="E4" s="72"/>
      <c r="F4" s="72"/>
      <c r="G4" s="72"/>
      <c r="H4" s="72"/>
      <c r="I4" s="72"/>
      <c r="Q4" s="73"/>
      <c r="R4" s="41"/>
    </row>
    <row r="5" spans="1:18" ht="13.5" hidden="1" thickBot="1">
      <c r="A5" s="74" t="s">
        <v>692</v>
      </c>
      <c r="B5" s="74"/>
      <c r="C5" s="74"/>
      <c r="D5" s="74"/>
      <c r="E5" s="75"/>
      <c r="F5" s="75"/>
      <c r="G5" s="75"/>
      <c r="H5" s="75"/>
      <c r="I5" s="75"/>
    </row>
    <row r="6" spans="1:18" hidden="1">
      <c r="A6" s="74" t="s">
        <v>693</v>
      </c>
      <c r="B6" s="74"/>
      <c r="C6" s="74"/>
      <c r="D6" s="74"/>
      <c r="E6" s="75"/>
      <c r="F6" s="75"/>
      <c r="G6" s="75"/>
      <c r="H6" s="75"/>
      <c r="I6" s="1456" t="s">
        <v>1045</v>
      </c>
      <c r="J6" s="1457"/>
      <c r="K6" s="497">
        <f>Budget!J3</f>
        <v>0</v>
      </c>
      <c r="L6" s="501"/>
    </row>
    <row r="7" spans="1:18" hidden="1">
      <c r="F7" s="26"/>
      <c r="G7" s="26"/>
      <c r="H7" s="26"/>
      <c r="I7" s="1458" t="s">
        <v>694</v>
      </c>
      <c r="J7" s="1459"/>
      <c r="K7" s="494">
        <f>Budget!J4</f>
        <v>0</v>
      </c>
      <c r="L7" s="500"/>
      <c r="M7" s="43"/>
      <c r="N7" s="76"/>
    </row>
    <row r="8" spans="1:18" hidden="1">
      <c r="A8" s="77" t="s">
        <v>695</v>
      </c>
      <c r="B8" s="78"/>
      <c r="C8" s="78"/>
      <c r="F8" s="26"/>
      <c r="G8" s="26"/>
      <c r="H8" s="26"/>
      <c r="I8" s="1458" t="s">
        <v>1046</v>
      </c>
      <c r="J8" s="1459"/>
      <c r="K8" s="494">
        <f>Budget!J5</f>
        <v>0</v>
      </c>
      <c r="L8" s="500"/>
      <c r="M8" s="43"/>
      <c r="N8" s="76"/>
    </row>
    <row r="9" spans="1:18" hidden="1">
      <c r="F9" s="26"/>
      <c r="G9" s="26"/>
      <c r="H9" s="26"/>
      <c r="I9" s="1460" t="s">
        <v>923</v>
      </c>
      <c r="J9" s="1461"/>
      <c r="K9" s="495">
        <f>Budget!J6</f>
        <v>0</v>
      </c>
      <c r="L9" s="500"/>
      <c r="M9" s="43"/>
      <c r="N9" s="76"/>
    </row>
    <row r="10" spans="1:18" hidden="1">
      <c r="C10" s="79" t="s">
        <v>1214</v>
      </c>
      <c r="D10" s="80"/>
      <c r="F10" s="26"/>
      <c r="G10" s="26"/>
      <c r="H10" s="26"/>
      <c r="I10" s="1458" t="s">
        <v>1044</v>
      </c>
      <c r="J10" s="1459"/>
      <c r="K10" s="495">
        <f>Budget!J7</f>
        <v>0</v>
      </c>
      <c r="L10" s="500"/>
      <c r="M10" s="43"/>
      <c r="N10" s="35" t="s">
        <v>724</v>
      </c>
    </row>
    <row r="11" spans="1:18" hidden="1">
      <c r="A11" s="33" t="s">
        <v>696</v>
      </c>
      <c r="B11" s="81" t="s">
        <v>69</v>
      </c>
      <c r="C11" s="82"/>
      <c r="D11" s="83"/>
      <c r="F11" s="26"/>
      <c r="G11" s="26"/>
      <c r="H11" s="26"/>
      <c r="I11" s="84" t="s">
        <v>697</v>
      </c>
      <c r="J11" s="85"/>
      <c r="K11" s="498"/>
      <c r="L11" s="499"/>
      <c r="M11" s="43"/>
      <c r="N11" s="35" t="s">
        <v>167</v>
      </c>
    </row>
    <row r="12" spans="1:18" hidden="1">
      <c r="B12" s="81" t="s">
        <v>70</v>
      </c>
      <c r="C12" s="86"/>
      <c r="D12" s="83"/>
      <c r="F12" s="26"/>
      <c r="G12" s="26"/>
      <c r="H12" s="26"/>
      <c r="I12" s="87"/>
      <c r="J12" s="88" t="str">
        <f>Budget!B9</f>
        <v xml:space="preserve"> </v>
      </c>
      <c r="K12" s="124"/>
      <c r="L12" s="300"/>
      <c r="M12" s="43"/>
      <c r="N12" s="76" t="s">
        <v>1220</v>
      </c>
    </row>
    <row r="13" spans="1:18" hidden="1">
      <c r="B13" s="81" t="s">
        <v>698</v>
      </c>
      <c r="C13" s="86"/>
      <c r="D13" s="83"/>
      <c r="F13" s="26"/>
      <c r="G13" s="26"/>
      <c r="H13" s="26"/>
      <c r="I13" s="87"/>
      <c r="J13" s="88" t="str">
        <f>Budget!B10</f>
        <v xml:space="preserve"> </v>
      </c>
      <c r="K13" s="496"/>
      <c r="L13" s="300"/>
      <c r="M13" s="43"/>
      <c r="N13" s="35" t="s">
        <v>1230</v>
      </c>
    </row>
    <row r="14" spans="1:18" hidden="1">
      <c r="B14" s="81" t="s">
        <v>75</v>
      </c>
      <c r="C14" s="86"/>
      <c r="D14" s="83"/>
      <c r="F14" s="26"/>
      <c r="G14" s="26"/>
      <c r="H14" s="26"/>
      <c r="I14" s="87"/>
      <c r="J14" s="88" t="str">
        <f>Budget!B11</f>
        <v xml:space="preserve"> </v>
      </c>
      <c r="K14" s="124"/>
      <c r="L14" s="300"/>
      <c r="M14" s="43"/>
      <c r="N14" s="35" t="s">
        <v>1231</v>
      </c>
    </row>
    <row r="15" spans="1:18" ht="13.5" hidden="1" thickBot="1">
      <c r="B15" s="81" t="s">
        <v>76</v>
      </c>
      <c r="C15" s="86"/>
      <c r="D15" s="83"/>
      <c r="I15" s="89"/>
      <c r="J15" s="90"/>
      <c r="K15" s="90"/>
      <c r="L15" s="91"/>
    </row>
    <row r="16" spans="1:18" hidden="1">
      <c r="B16" s="92" t="s">
        <v>699</v>
      </c>
      <c r="C16" s="93"/>
      <c r="D16" s="83"/>
    </row>
    <row r="17" spans="1:15" hidden="1">
      <c r="B17" s="81" t="s">
        <v>77</v>
      </c>
      <c r="C17" s="93"/>
      <c r="D17" s="83"/>
    </row>
    <row r="18" spans="1:15" hidden="1">
      <c r="B18" s="39" t="s">
        <v>700</v>
      </c>
      <c r="C18" s="94">
        <f>Budget!J12</f>
        <v>0</v>
      </c>
      <c r="D18" s="95"/>
      <c r="G18" s="33" t="s">
        <v>701</v>
      </c>
      <c r="J18" s="96"/>
      <c r="N18" s="34"/>
      <c r="O18" s="34"/>
    </row>
    <row r="19" spans="1:15" hidden="1">
      <c r="B19" s="39"/>
      <c r="C19" s="93">
        <f>Budget!J13</f>
        <v>0</v>
      </c>
      <c r="D19" s="97"/>
      <c r="J19" s="98"/>
      <c r="N19" s="34"/>
      <c r="O19" s="34"/>
    </row>
    <row r="20" spans="1:15" hidden="1">
      <c r="B20" s="40" t="s">
        <v>702</v>
      </c>
      <c r="C20" s="507">
        <v>0</v>
      </c>
      <c r="D20" s="40"/>
      <c r="J20" s="99"/>
      <c r="N20" s="35" t="s">
        <v>1071</v>
      </c>
      <c r="O20" s="35" t="s">
        <v>1072</v>
      </c>
    </row>
    <row r="21" spans="1:15" hidden="1">
      <c r="N21" s="35" t="s">
        <v>1073</v>
      </c>
      <c r="O21" s="35" t="s">
        <v>1074</v>
      </c>
    </row>
    <row r="22" spans="1:15" hidden="1">
      <c r="B22" s="39" t="s">
        <v>703</v>
      </c>
      <c r="C22" s="93"/>
      <c r="D22" s="94"/>
      <c r="E22" s="39" t="s">
        <v>704</v>
      </c>
      <c r="F22" s="39"/>
      <c r="G22" s="100"/>
      <c r="H22" s="101">
        <v>0</v>
      </c>
      <c r="I22" s="102"/>
      <c r="J22" s="26" t="s">
        <v>899</v>
      </c>
      <c r="K22" s="26"/>
      <c r="N22" s="35" t="s">
        <v>1075</v>
      </c>
      <c r="O22" s="35" t="s">
        <v>1076</v>
      </c>
    </row>
    <row r="23" spans="1:15" hidden="1">
      <c r="B23" s="33" t="s">
        <v>705</v>
      </c>
      <c r="C23" s="103"/>
      <c r="D23" s="40"/>
      <c r="E23" s="33" t="s">
        <v>706</v>
      </c>
      <c r="H23" s="104"/>
      <c r="I23" s="105"/>
      <c r="J23" s="106" t="s">
        <v>707</v>
      </c>
      <c r="K23" s="26"/>
      <c r="N23" s="35" t="s">
        <v>1077</v>
      </c>
      <c r="O23" s="35" t="s">
        <v>1078</v>
      </c>
    </row>
    <row r="24" spans="1:15" hidden="1">
      <c r="N24" s="35" t="s">
        <v>1079</v>
      </c>
      <c r="O24" s="35" t="s">
        <v>1080</v>
      </c>
    </row>
    <row r="25" spans="1:15" hidden="1">
      <c r="A25" s="33" t="s">
        <v>708</v>
      </c>
      <c r="B25" s="33" t="s">
        <v>709</v>
      </c>
      <c r="D25" s="107"/>
      <c r="E25" s="1447"/>
      <c r="F25" s="1448"/>
      <c r="I25" s="108"/>
      <c r="J25" s="41"/>
      <c r="K25" s="40"/>
      <c r="L25" s="40"/>
      <c r="N25" s="35" t="s">
        <v>1081</v>
      </c>
      <c r="O25" s="35" t="s">
        <v>1082</v>
      </c>
    </row>
    <row r="26" spans="1:15" hidden="1">
      <c r="B26" s="1446" t="s">
        <v>1070</v>
      </c>
      <c r="C26" s="1446"/>
      <c r="D26" s="1446"/>
      <c r="E26" s="1447"/>
      <c r="F26" s="1447"/>
      <c r="I26" s="108"/>
      <c r="J26" s="41"/>
      <c r="K26" s="40"/>
      <c r="L26" s="40"/>
    </row>
    <row r="27" spans="1:15" hidden="1">
      <c r="B27" s="33" t="s">
        <v>1164</v>
      </c>
      <c r="E27" s="1446"/>
      <c r="F27" s="1446"/>
      <c r="G27" s="33" t="s">
        <v>707</v>
      </c>
    </row>
    <row r="28" spans="1:15" hidden="1"/>
    <row r="29" spans="1:15" hidden="1">
      <c r="A29" s="33" t="s">
        <v>710</v>
      </c>
      <c r="B29" s="39" t="s">
        <v>711</v>
      </c>
      <c r="J29" s="40"/>
      <c r="M29" s="40"/>
    </row>
    <row r="30" spans="1:15" hidden="1">
      <c r="B30" s="39" t="s">
        <v>712</v>
      </c>
      <c r="E30" s="40"/>
      <c r="F30" s="40"/>
      <c r="G30" s="40"/>
      <c r="H30" s="40"/>
      <c r="I30" s="40"/>
      <c r="J30" s="75"/>
      <c r="K30" s="40"/>
    </row>
    <row r="31" spans="1:15" hidden="1">
      <c r="B31" s="1445"/>
      <c r="C31" s="1445"/>
      <c r="D31" s="1445"/>
      <c r="F31" s="109"/>
      <c r="G31" s="109"/>
      <c r="K31" s="40"/>
    </row>
    <row r="32" spans="1:15" hidden="1">
      <c r="B32" s="1445"/>
      <c r="C32" s="1445"/>
      <c r="D32" s="1445"/>
      <c r="E32" s="40"/>
      <c r="F32" s="40"/>
      <c r="G32" s="40"/>
      <c r="H32" s="40"/>
      <c r="I32" s="40"/>
      <c r="K32" s="40"/>
      <c r="N32" s="34"/>
      <c r="O32" s="34"/>
    </row>
    <row r="33" spans="1:18" hidden="1">
      <c r="B33" s="39" t="s">
        <v>713</v>
      </c>
      <c r="G33" s="93"/>
      <c r="H33" s="33" t="s">
        <v>714</v>
      </c>
      <c r="J33" s="40"/>
      <c r="K33" s="26"/>
      <c r="N33" s="35" t="s">
        <v>1048</v>
      </c>
      <c r="O33" s="35" t="s">
        <v>1049</v>
      </c>
    </row>
    <row r="34" spans="1:18" hidden="1">
      <c r="N34" s="35" t="s">
        <v>1050</v>
      </c>
      <c r="O34" s="35" t="s">
        <v>1051</v>
      </c>
    </row>
    <row r="35" spans="1:18" hidden="1">
      <c r="A35" s="33" t="s">
        <v>715</v>
      </c>
      <c r="B35" s="33" t="s">
        <v>716</v>
      </c>
      <c r="C35" s="93" t="str">
        <f>IF(J35=""," ","("&amp;TEXT(J35,"#.#")&amp;")")</f>
        <v xml:space="preserve"> </v>
      </c>
      <c r="D35" s="33" t="s">
        <v>717</v>
      </c>
      <c r="H35" s="93" t="str">
        <f>IF(K35=""," ","("&amp;TEXT(K35,"#.#")&amp;" UTH)")</f>
        <v xml:space="preserve"> </v>
      </c>
      <c r="I35" s="93"/>
      <c r="J35" s="110"/>
      <c r="K35" s="110"/>
      <c r="N35" s="35" t="s">
        <v>1052</v>
      </c>
      <c r="O35" s="35" t="s">
        <v>1053</v>
      </c>
    </row>
    <row r="36" spans="1:18" hidden="1">
      <c r="B36" s="103" t="s">
        <v>718</v>
      </c>
      <c r="D36" s="111"/>
      <c r="N36" s="35" t="s">
        <v>1054</v>
      </c>
      <c r="O36" s="35" t="s">
        <v>1055</v>
      </c>
    </row>
    <row r="37" spans="1:18" hidden="1">
      <c r="B37" s="103" t="s">
        <v>719</v>
      </c>
      <c r="D37" s="111">
        <v>0</v>
      </c>
      <c r="N37" s="35" t="s">
        <v>1056</v>
      </c>
      <c r="O37" s="35" t="s">
        <v>1057</v>
      </c>
    </row>
    <row r="38" spans="1:18" hidden="1">
      <c r="B38" s="103" t="s">
        <v>720</v>
      </c>
      <c r="D38" s="111">
        <v>0</v>
      </c>
      <c r="N38" s="35" t="s">
        <v>1058</v>
      </c>
      <c r="O38" s="35" t="s">
        <v>1059</v>
      </c>
    </row>
    <row r="39" spans="1:18" hidden="1">
      <c r="B39" s="103" t="s">
        <v>721</v>
      </c>
      <c r="D39" s="111">
        <v>0</v>
      </c>
      <c r="N39" s="35" t="s">
        <v>1060</v>
      </c>
      <c r="O39" s="35" t="s">
        <v>1061</v>
      </c>
    </row>
    <row r="40" spans="1:18" hidden="1">
      <c r="N40" s="35" t="s">
        <v>1062</v>
      </c>
      <c r="O40" s="35" t="s">
        <v>1063</v>
      </c>
    </row>
    <row r="41" spans="1:18" hidden="1">
      <c r="A41" s="33" t="s">
        <v>722</v>
      </c>
      <c r="B41" s="39" t="s">
        <v>723</v>
      </c>
      <c r="C41" s="112"/>
      <c r="D41" s="113"/>
      <c r="N41" s="35" t="s">
        <v>1064</v>
      </c>
      <c r="O41" s="35" t="s">
        <v>1065</v>
      </c>
    </row>
    <row r="42" spans="1:18" ht="13.5" hidden="1" thickBot="1">
      <c r="N42" s="35" t="s">
        <v>1066</v>
      </c>
      <c r="O42" s="35" t="s">
        <v>1067</v>
      </c>
    </row>
    <row r="43" spans="1:18" ht="13.5" hidden="1" thickBot="1">
      <c r="A43" s="114" t="s">
        <v>725</v>
      </c>
      <c r="B43" s="115" t="s">
        <v>726</v>
      </c>
      <c r="C43" s="116">
        <f>Budget!C14</f>
        <v>0</v>
      </c>
      <c r="D43" s="117"/>
      <c r="E43" s="115" t="s">
        <v>727</v>
      </c>
      <c r="F43" s="115"/>
      <c r="G43" s="115"/>
      <c r="H43" s="118">
        <f>Budget!H14</f>
        <v>0</v>
      </c>
      <c r="I43" s="119"/>
      <c r="J43" s="120"/>
      <c r="K43" s="121"/>
      <c r="M43" s="76"/>
      <c r="N43" s="35" t="s">
        <v>1068</v>
      </c>
      <c r="O43" s="35" t="s">
        <v>1069</v>
      </c>
    </row>
    <row r="44" spans="1:18" hidden="1">
      <c r="N44" s="76"/>
      <c r="O44" s="76"/>
    </row>
    <row r="45" spans="1:18" hidden="1">
      <c r="A45" s="33" t="s">
        <v>728</v>
      </c>
      <c r="B45" s="39" t="s">
        <v>729</v>
      </c>
      <c r="C45" s="39" t="s">
        <v>730</v>
      </c>
      <c r="N45" s="76"/>
      <c r="O45" s="76"/>
    </row>
    <row r="46" spans="1:18" hidden="1">
      <c r="B46" s="39" t="s">
        <v>731</v>
      </c>
      <c r="E46" s="122"/>
      <c r="F46" s="1467"/>
      <c r="G46" s="1468"/>
      <c r="H46" s="1468"/>
      <c r="I46" s="1469"/>
      <c r="J46" s="1473" t="str">
        <f>IF(ISBLANK(XONCOD),"",LOOKUP(XONCOD,N49:N106,O49:O106))</f>
        <v/>
      </c>
      <c r="K46" s="1474"/>
      <c r="L46" s="1474"/>
      <c r="M46" s="123"/>
      <c r="P46" s="76"/>
      <c r="Q46" s="76"/>
      <c r="R46" s="76"/>
    </row>
    <row r="47" spans="1:18" hidden="1">
      <c r="E47" s="76"/>
      <c r="F47" s="75"/>
      <c r="G47" s="121"/>
      <c r="H47" s="121"/>
      <c r="I47" s="121"/>
      <c r="J47" s="76"/>
      <c r="K47" s="76"/>
      <c r="L47" s="76"/>
      <c r="M47" s="76"/>
      <c r="N47" s="26" t="s">
        <v>1040</v>
      </c>
      <c r="O47" s="26"/>
    </row>
    <row r="48" spans="1:18" hidden="1">
      <c r="B48" s="39" t="s">
        <v>732</v>
      </c>
      <c r="D48" s="33">
        <v>0</v>
      </c>
      <c r="E48" s="124"/>
      <c r="F48" s="1471"/>
      <c r="G48" s="1468"/>
      <c r="H48" s="1468"/>
      <c r="I48" s="1469"/>
      <c r="J48" s="1475" t="str">
        <f>IF(ISBLANK(XONCOF),"",LOOKUP(XONCOF,N49:N106,O49:O106))</f>
        <v/>
      </c>
      <c r="K48" s="1476"/>
      <c r="L48" s="1476"/>
      <c r="M48" s="76"/>
      <c r="N48" s="36" t="s">
        <v>1041</v>
      </c>
      <c r="O48" s="36" t="s">
        <v>1042</v>
      </c>
      <c r="P48" s="76"/>
      <c r="Q48" s="76"/>
      <c r="R48" s="76"/>
    </row>
    <row r="49" spans="1:17" hidden="1">
      <c r="E49" s="76"/>
      <c r="F49" s="76"/>
      <c r="G49" s="76"/>
      <c r="H49" s="76"/>
      <c r="I49" s="76"/>
      <c r="J49" s="76"/>
      <c r="K49" s="76"/>
      <c r="L49" s="76"/>
      <c r="M49" s="76"/>
      <c r="N49" s="37" t="s">
        <v>924</v>
      </c>
      <c r="O49" s="37" t="s">
        <v>925</v>
      </c>
      <c r="P49" s="26"/>
      <c r="Q49" s="26"/>
    </row>
    <row r="50" spans="1:17" hidden="1">
      <c r="A50" s="33" t="s">
        <v>733</v>
      </c>
      <c r="B50" s="33" t="s">
        <v>734</v>
      </c>
      <c r="C50" s="86"/>
      <c r="D50" s="33" t="s">
        <v>735</v>
      </c>
      <c r="F50" s="93"/>
      <c r="G50" s="93"/>
      <c r="H50" s="93"/>
      <c r="I50" s="93"/>
      <c r="N50" s="35" t="s">
        <v>926</v>
      </c>
      <c r="O50" s="35" t="s">
        <v>927</v>
      </c>
      <c r="P50" s="26"/>
      <c r="Q50" s="26"/>
    </row>
    <row r="51" spans="1:17" hidden="1">
      <c r="N51" s="35" t="s">
        <v>928</v>
      </c>
      <c r="O51" s="35" t="s">
        <v>929</v>
      </c>
    </row>
    <row r="52" spans="1:17" hidden="1">
      <c r="A52" s="33" t="s">
        <v>736</v>
      </c>
      <c r="B52" s="33" t="s">
        <v>737</v>
      </c>
      <c r="D52" s="125"/>
      <c r="E52" s="126" t="s">
        <v>132</v>
      </c>
      <c r="F52" s="39" t="s">
        <v>738</v>
      </c>
      <c r="G52" s="26"/>
      <c r="H52" s="26"/>
      <c r="J52" s="127"/>
      <c r="K52" s="128"/>
      <c r="N52" s="35" t="s">
        <v>930</v>
      </c>
      <c r="O52" s="35" t="s">
        <v>931</v>
      </c>
      <c r="P52" s="39"/>
    </row>
    <row r="53" spans="1:17" hidden="1">
      <c r="D53" s="26"/>
      <c r="E53" s="129" t="s">
        <v>82</v>
      </c>
      <c r="F53" s="129"/>
      <c r="G53" s="72"/>
      <c r="H53" s="72"/>
      <c r="I53" s="72" t="s">
        <v>83</v>
      </c>
      <c r="J53" s="72"/>
      <c r="K53" s="26"/>
      <c r="N53" s="35" t="s">
        <v>932</v>
      </c>
      <c r="O53" s="35" t="s">
        <v>933</v>
      </c>
    </row>
    <row r="54" spans="1:17" hidden="1">
      <c r="B54" s="39" t="s">
        <v>739</v>
      </c>
      <c r="D54" s="26"/>
      <c r="E54" s="130">
        <f>Budget!B870</f>
        <v>0</v>
      </c>
      <c r="F54" s="33" t="s">
        <v>857</v>
      </c>
      <c r="H54" s="131">
        <f>Budget!G870</f>
        <v>0</v>
      </c>
      <c r="I54" s="132"/>
      <c r="J54" s="33" t="s">
        <v>857</v>
      </c>
      <c r="K54" s="26"/>
      <c r="N54" s="35" t="s">
        <v>934</v>
      </c>
      <c r="O54" s="35" t="s">
        <v>935</v>
      </c>
    </row>
    <row r="55" spans="1:17" hidden="1">
      <c r="B55" s="39" t="s">
        <v>740</v>
      </c>
      <c r="D55" s="26"/>
      <c r="E55" s="41"/>
      <c r="H55" s="133"/>
      <c r="I55" s="132"/>
      <c r="K55" s="26"/>
      <c r="N55" s="35" t="s">
        <v>936</v>
      </c>
      <c r="O55" s="35" t="s">
        <v>937</v>
      </c>
    </row>
    <row r="56" spans="1:17" hidden="1">
      <c r="C56" s="39" t="s">
        <v>741</v>
      </c>
      <c r="D56" s="26"/>
      <c r="E56" s="130">
        <f>Budget!I8-R.Technique!E54-R.Technique!E57</f>
        <v>0</v>
      </c>
      <c r="F56" s="33" t="s">
        <v>857</v>
      </c>
      <c r="H56" s="131">
        <f>Budget!I9-R.Technique!H54-R.Technique!H57</f>
        <v>0</v>
      </c>
      <c r="I56" s="132"/>
      <c r="J56" s="33" t="s">
        <v>857</v>
      </c>
      <c r="K56" s="26"/>
      <c r="N56" s="35" t="s">
        <v>938</v>
      </c>
      <c r="O56" s="35" t="s">
        <v>939</v>
      </c>
    </row>
    <row r="57" spans="1:17" hidden="1">
      <c r="C57" s="33" t="s">
        <v>742</v>
      </c>
      <c r="D57" s="26"/>
      <c r="E57" s="134"/>
      <c r="F57" s="33" t="s">
        <v>857</v>
      </c>
      <c r="H57" s="135"/>
      <c r="I57" s="132"/>
      <c r="J57" s="33" t="s">
        <v>857</v>
      </c>
      <c r="K57" s="26"/>
      <c r="N57" s="35" t="s">
        <v>940</v>
      </c>
      <c r="O57" s="35" t="s">
        <v>941</v>
      </c>
    </row>
    <row r="58" spans="1:17" hidden="1">
      <c r="B58" s="39" t="s">
        <v>743</v>
      </c>
      <c r="D58" s="26"/>
      <c r="E58" s="136"/>
      <c r="F58" s="137" t="s">
        <v>857</v>
      </c>
      <c r="G58" s="137"/>
      <c r="H58" s="138"/>
      <c r="I58" s="139"/>
      <c r="J58" s="137" t="s">
        <v>857</v>
      </c>
      <c r="K58" s="26"/>
      <c r="N58" s="35" t="s">
        <v>942</v>
      </c>
      <c r="O58" s="35" t="s">
        <v>943</v>
      </c>
    </row>
    <row r="59" spans="1:17" hidden="1">
      <c r="B59" s="133" t="s">
        <v>744</v>
      </c>
      <c r="C59" s="133"/>
      <c r="D59" s="26"/>
      <c r="E59" s="140">
        <f>SUM(E54:E58)</f>
        <v>0</v>
      </c>
      <c r="F59" s="33" t="s">
        <v>857</v>
      </c>
      <c r="H59" s="141">
        <f>SUM(H54:H58)</f>
        <v>0</v>
      </c>
      <c r="I59" s="132"/>
      <c r="J59" s="33" t="s">
        <v>857</v>
      </c>
      <c r="K59" s="26"/>
      <c r="N59" s="35" t="s">
        <v>944</v>
      </c>
      <c r="O59" s="35" t="s">
        <v>945</v>
      </c>
    </row>
    <row r="60" spans="1:17" hidden="1">
      <c r="B60" s="39" t="s">
        <v>745</v>
      </c>
      <c r="D60" s="26"/>
      <c r="E60" s="142"/>
      <c r="F60" s="33" t="s">
        <v>1245</v>
      </c>
      <c r="H60" s="143"/>
      <c r="I60" s="144"/>
      <c r="J60" s="33" t="s">
        <v>1245</v>
      </c>
      <c r="K60" s="26"/>
      <c r="N60" s="35" t="s">
        <v>946</v>
      </c>
      <c r="O60" s="35" t="s">
        <v>947</v>
      </c>
    </row>
    <row r="61" spans="1:17" hidden="1">
      <c r="B61" s="39"/>
      <c r="D61" s="26"/>
      <c r="E61" s="145"/>
      <c r="H61" s="146"/>
      <c r="I61" s="144"/>
      <c r="K61" s="26"/>
      <c r="N61" s="35" t="s">
        <v>948</v>
      </c>
      <c r="O61" s="35" t="s">
        <v>949</v>
      </c>
    </row>
    <row r="62" spans="1:17" ht="9.9499999999999993" hidden="1" customHeight="1">
      <c r="B62" s="39"/>
      <c r="D62" s="26"/>
      <c r="E62" s="145"/>
      <c r="H62" s="146"/>
      <c r="I62" s="144"/>
      <c r="K62" s="26"/>
      <c r="N62" s="35" t="s">
        <v>950</v>
      </c>
      <c r="O62" s="35" t="s">
        <v>951</v>
      </c>
    </row>
    <row r="63" spans="1:17" ht="9.9499999999999993" hidden="1" customHeight="1">
      <c r="B63" s="39"/>
      <c r="D63" s="26"/>
      <c r="E63" s="145"/>
      <c r="H63" s="146"/>
      <c r="I63" s="144"/>
      <c r="K63" s="26"/>
      <c r="N63" s="35" t="s">
        <v>952</v>
      </c>
      <c r="O63" s="35" t="s">
        <v>953</v>
      </c>
    </row>
    <row r="64" spans="1:17" ht="5.25" hidden="1" customHeight="1">
      <c r="B64" s="39"/>
      <c r="D64" s="26"/>
      <c r="E64" s="145"/>
      <c r="H64" s="146"/>
      <c r="I64" s="144"/>
      <c r="K64" s="26"/>
      <c r="N64" s="35" t="s">
        <v>954</v>
      </c>
      <c r="O64" s="35" t="s">
        <v>955</v>
      </c>
    </row>
    <row r="65" spans="1:15" ht="19.5" hidden="1" customHeight="1">
      <c r="B65" s="39"/>
      <c r="D65" s="26"/>
      <c r="E65" s="145"/>
      <c r="G65" s="147"/>
      <c r="H65" s="148" t="s">
        <v>1126</v>
      </c>
      <c r="I65" s="149" t="str">
        <f>K7&amp; " / " &amp; K6</f>
        <v>0 / 0</v>
      </c>
      <c r="J65" s="147"/>
      <c r="K65" s="26"/>
      <c r="N65" s="35" t="s">
        <v>956</v>
      </c>
      <c r="O65" s="35" t="s">
        <v>957</v>
      </c>
    </row>
    <row r="66" spans="1:15" ht="9.9499999999999993" hidden="1" customHeight="1">
      <c r="B66" s="39"/>
      <c r="D66" s="26"/>
      <c r="E66" s="145"/>
      <c r="H66" s="146"/>
      <c r="I66" s="144"/>
      <c r="K66" s="26"/>
      <c r="N66" s="35" t="s">
        <v>958</v>
      </c>
      <c r="O66" s="35" t="s">
        <v>959</v>
      </c>
    </row>
    <row r="67" spans="1:15" ht="18" hidden="1" customHeight="1">
      <c r="A67" s="39" t="s">
        <v>747</v>
      </c>
      <c r="B67" s="26"/>
      <c r="K67" s="103"/>
      <c r="N67" s="35" t="s">
        <v>960</v>
      </c>
      <c r="O67" s="35" t="s">
        <v>961</v>
      </c>
    </row>
    <row r="68" spans="1:15" ht="18" hidden="1" customHeight="1">
      <c r="B68" s="33" t="s">
        <v>748</v>
      </c>
      <c r="N68" s="35" t="s">
        <v>962</v>
      </c>
      <c r="O68" s="35" t="s">
        <v>963</v>
      </c>
    </row>
    <row r="69" spans="1:15" ht="18" hidden="1" customHeight="1">
      <c r="A69" s="39" t="s">
        <v>749</v>
      </c>
      <c r="B69" s="26"/>
      <c r="C69" s="103"/>
      <c r="D69" s="33" t="s">
        <v>800</v>
      </c>
      <c r="E69" s="1470"/>
      <c r="F69" s="1470"/>
      <c r="G69" s="1470"/>
      <c r="H69" s="33" t="s">
        <v>801</v>
      </c>
      <c r="J69" s="150"/>
      <c r="K69" s="151"/>
      <c r="L69" s="151"/>
      <c r="N69" s="35" t="s">
        <v>964</v>
      </c>
      <c r="O69" s="35" t="s">
        <v>965</v>
      </c>
    </row>
    <row r="70" spans="1:15" ht="18" hidden="1" customHeight="1">
      <c r="A70" s="39" t="s">
        <v>750</v>
      </c>
      <c r="B70" s="26"/>
      <c r="C70" s="103"/>
      <c r="D70" s="33" t="s">
        <v>800</v>
      </c>
      <c r="E70" s="1470"/>
      <c r="F70" s="1470"/>
      <c r="G70" s="1470"/>
      <c r="H70" s="33" t="s">
        <v>801</v>
      </c>
      <c r="J70" s="150"/>
      <c r="K70" s="151"/>
      <c r="L70" s="151"/>
      <c r="N70" s="35" t="s">
        <v>966</v>
      </c>
      <c r="O70" s="35" t="s">
        <v>967</v>
      </c>
    </row>
    <row r="71" spans="1:15" ht="18" hidden="1" customHeight="1">
      <c r="A71" s="39" t="s">
        <v>751</v>
      </c>
      <c r="G71" s="103"/>
      <c r="H71" s="103"/>
      <c r="I71" s="103"/>
      <c r="J71" s="103"/>
      <c r="K71" s="103"/>
      <c r="L71" s="103"/>
      <c r="M71" s="103"/>
      <c r="N71" s="35" t="s">
        <v>968</v>
      </c>
      <c r="O71" s="35" t="s">
        <v>969</v>
      </c>
    </row>
    <row r="72" spans="1:15" ht="18" hidden="1" customHeight="1">
      <c r="A72" s="33" t="s">
        <v>752</v>
      </c>
      <c r="G72" s="103"/>
      <c r="H72" s="152"/>
      <c r="I72" s="152"/>
      <c r="J72" s="152"/>
      <c r="K72" s="103"/>
      <c r="L72" s="103"/>
      <c r="M72" s="103"/>
      <c r="N72" s="35" t="s">
        <v>970</v>
      </c>
      <c r="O72" s="35" t="s">
        <v>971</v>
      </c>
    </row>
    <row r="73" spans="1:15" ht="18" hidden="1" customHeight="1">
      <c r="A73" s="33" t="s">
        <v>1125</v>
      </c>
      <c r="H73" s="1447"/>
      <c r="I73" s="1447"/>
      <c r="J73" s="1447"/>
      <c r="K73" s="153"/>
      <c r="L73" s="93"/>
      <c r="M73" s="93"/>
      <c r="N73" s="35" t="s">
        <v>972</v>
      </c>
      <c r="O73" s="35" t="s">
        <v>973</v>
      </c>
    </row>
    <row r="74" spans="1:15" ht="18" hidden="1" customHeight="1">
      <c r="K74" s="153"/>
      <c r="L74" s="93"/>
      <c r="M74" s="93"/>
      <c r="N74" s="35" t="s">
        <v>974</v>
      </c>
      <c r="O74" s="35" t="s">
        <v>975</v>
      </c>
    </row>
    <row r="75" spans="1:15" ht="18" hidden="1" customHeight="1">
      <c r="A75" s="33" t="s">
        <v>753</v>
      </c>
      <c r="D75" s="103"/>
      <c r="E75" s="33" t="s">
        <v>754</v>
      </c>
      <c r="H75" s="103" t="s">
        <v>803</v>
      </c>
      <c r="I75" s="113"/>
      <c r="J75" s="113"/>
      <c r="N75" s="35" t="s">
        <v>976</v>
      </c>
      <c r="O75" s="35" t="s">
        <v>977</v>
      </c>
    </row>
    <row r="76" spans="1:15" ht="18" hidden="1" customHeight="1">
      <c r="E76" s="33" t="s">
        <v>755</v>
      </c>
      <c r="H76" s="154"/>
      <c r="N76" s="35" t="s">
        <v>978</v>
      </c>
      <c r="O76" s="35" t="s">
        <v>979</v>
      </c>
    </row>
    <row r="77" spans="1:15" ht="18" hidden="1" customHeight="1">
      <c r="A77" s="39" t="s">
        <v>1246</v>
      </c>
      <c r="E77" s="41" t="s">
        <v>1247</v>
      </c>
      <c r="F77" s="155">
        <f>IF(ISNA(Budget!C381),-1,IF(Budget!C381=0,-1,ROUND((Budget!C115+Budget!C116)/(Budget!C381),0)))</f>
        <v>-1</v>
      </c>
      <c r="G77" s="133"/>
      <c r="H77" s="33" t="s">
        <v>756</v>
      </c>
      <c r="N77" s="35" t="s">
        <v>980</v>
      </c>
      <c r="O77" s="35" t="s">
        <v>981</v>
      </c>
    </row>
    <row r="78" spans="1:15" ht="18" hidden="1" customHeight="1">
      <c r="E78" s="41" t="s">
        <v>757</v>
      </c>
      <c r="F78" s="155">
        <f>IF(ISNA(Budget!G381),-1,IF(Budget!G381=0,-1,ROUND(F79/(Budget!G381),0)))</f>
        <v>-1</v>
      </c>
      <c r="G78" s="133"/>
      <c r="H78" s="33" t="s">
        <v>756</v>
      </c>
      <c r="N78" s="35" t="s">
        <v>982</v>
      </c>
      <c r="O78" s="35" t="s">
        <v>983</v>
      </c>
    </row>
    <row r="79" spans="1:15" ht="18" hidden="1" customHeight="1">
      <c r="E79" s="41" t="s">
        <v>758</v>
      </c>
      <c r="F79" s="155">
        <f>ROUND(Budget!H115+Budget!H116,0)</f>
        <v>0</v>
      </c>
      <c r="G79" s="133"/>
      <c r="H79" s="33" t="s">
        <v>759</v>
      </c>
      <c r="J79" s="156" t="str">
        <f>IF(K79=""," ","("&amp;TEXT(K79,"#.#")&amp;")")</f>
        <v xml:space="preserve"> </v>
      </c>
      <c r="K79" s="110"/>
      <c r="N79" s="35" t="s">
        <v>984</v>
      </c>
      <c r="O79" s="35" t="s">
        <v>985</v>
      </c>
    </row>
    <row r="80" spans="1:15" ht="18" hidden="1" customHeight="1">
      <c r="A80" s="39" t="s">
        <v>760</v>
      </c>
      <c r="N80" s="35" t="s">
        <v>986</v>
      </c>
      <c r="O80" s="35" t="s">
        <v>987</v>
      </c>
    </row>
    <row r="81" spans="1:15" ht="18" hidden="1" customHeight="1">
      <c r="C81" s="39" t="s">
        <v>761</v>
      </c>
      <c r="F81" s="156">
        <f>Budget!B450</f>
        <v>0</v>
      </c>
      <c r="N81" s="35" t="s">
        <v>988</v>
      </c>
      <c r="O81" s="35" t="s">
        <v>989</v>
      </c>
    </row>
    <row r="82" spans="1:15" ht="18" hidden="1" customHeight="1">
      <c r="C82" s="39" t="s">
        <v>762</v>
      </c>
      <c r="F82" s="156">
        <f>Budget!G450</f>
        <v>0</v>
      </c>
      <c r="N82" s="35" t="s">
        <v>990</v>
      </c>
      <c r="O82" s="35" t="s">
        <v>991</v>
      </c>
    </row>
    <row r="83" spans="1:15" ht="18" hidden="1" customHeight="1">
      <c r="A83" s="33" t="s">
        <v>763</v>
      </c>
      <c r="N83" s="35" t="s">
        <v>992</v>
      </c>
      <c r="O83" s="35" t="s">
        <v>993</v>
      </c>
    </row>
    <row r="84" spans="1:15" ht="18" hidden="1" customHeight="1">
      <c r="B84" s="33" t="s">
        <v>1222</v>
      </c>
      <c r="N84" s="35" t="s">
        <v>994</v>
      </c>
      <c r="O84" s="35" t="s">
        <v>995</v>
      </c>
    </row>
    <row r="85" spans="1:15" ht="18" hidden="1" customHeight="1">
      <c r="B85" s="26" t="s">
        <v>1223</v>
      </c>
      <c r="C85" s="103"/>
      <c r="N85" s="35" t="s">
        <v>996</v>
      </c>
      <c r="O85" s="35" t="s">
        <v>997</v>
      </c>
    </row>
    <row r="86" spans="1:15" ht="18" hidden="1" customHeight="1">
      <c r="B86" s="26" t="s">
        <v>1224</v>
      </c>
      <c r="C86" s="103"/>
      <c r="D86" s="1454" t="s">
        <v>1228</v>
      </c>
      <c r="E86" s="1454"/>
      <c r="F86" s="474"/>
      <c r="N86" s="35" t="s">
        <v>998</v>
      </c>
      <c r="O86" s="35" t="s">
        <v>999</v>
      </c>
    </row>
    <row r="87" spans="1:15" ht="18" hidden="1" customHeight="1">
      <c r="B87" s="26" t="s">
        <v>1225</v>
      </c>
      <c r="C87" s="103"/>
      <c r="N87" s="35" t="s">
        <v>1000</v>
      </c>
      <c r="O87" s="35" t="s">
        <v>1001</v>
      </c>
    </row>
    <row r="88" spans="1:15" ht="18" hidden="1" customHeight="1">
      <c r="B88" s="26" t="s">
        <v>1226</v>
      </c>
      <c r="C88" s="103"/>
      <c r="D88" s="1454" t="s">
        <v>1227</v>
      </c>
      <c r="E88" s="1454"/>
      <c r="F88" s="1472"/>
      <c r="G88" s="1472"/>
      <c r="H88" s="1472"/>
      <c r="I88" s="1472"/>
      <c r="J88" s="1472"/>
      <c r="K88" s="1472"/>
      <c r="N88" s="35" t="s">
        <v>1002</v>
      </c>
      <c r="O88" s="35" t="s">
        <v>1003</v>
      </c>
    </row>
    <row r="89" spans="1:15" ht="18" hidden="1" customHeight="1">
      <c r="B89" s="26" t="s">
        <v>1238</v>
      </c>
      <c r="C89" s="103"/>
      <c r="D89" s="41"/>
      <c r="E89" s="41"/>
      <c r="F89" s="128"/>
      <c r="G89" s="128"/>
      <c r="H89" s="128"/>
      <c r="I89" s="128"/>
      <c r="J89" s="128"/>
      <c r="K89" s="128"/>
      <c r="N89" s="35" t="s">
        <v>1004</v>
      </c>
      <c r="O89" s="35" t="s">
        <v>1005</v>
      </c>
    </row>
    <row r="90" spans="1:15" ht="18" hidden="1" customHeight="1" thickBot="1">
      <c r="B90" s="33" t="s">
        <v>1221</v>
      </c>
      <c r="N90" s="35" t="s">
        <v>1006</v>
      </c>
      <c r="O90" s="35" t="s">
        <v>1007</v>
      </c>
    </row>
    <row r="91" spans="1:15" ht="18" hidden="1" customHeight="1">
      <c r="B91" s="157" t="s">
        <v>764</v>
      </c>
      <c r="C91" s="158"/>
      <c r="D91" s="159" t="s">
        <v>765</v>
      </c>
      <c r="E91" s="160" t="s">
        <v>766</v>
      </c>
      <c r="F91" s="502" t="s">
        <v>1239</v>
      </c>
      <c r="G91" s="504"/>
      <c r="H91" s="1465" t="s">
        <v>1229</v>
      </c>
      <c r="I91" s="1466"/>
      <c r="J91" s="502" t="s">
        <v>1240</v>
      </c>
      <c r="K91" s="488" t="s">
        <v>1243</v>
      </c>
      <c r="L91" s="476" t="s">
        <v>1234</v>
      </c>
      <c r="M91" s="489" t="s">
        <v>1232</v>
      </c>
      <c r="N91" s="479" t="s">
        <v>1008</v>
      </c>
      <c r="O91" s="35" t="s">
        <v>1009</v>
      </c>
    </row>
    <row r="92" spans="1:15" ht="18" hidden="1" customHeight="1" thickBot="1">
      <c r="B92" s="161" t="s">
        <v>767</v>
      </c>
      <c r="C92" s="162"/>
      <c r="D92" s="163"/>
      <c r="E92" s="164" t="s">
        <v>768</v>
      </c>
      <c r="F92" s="503" t="s">
        <v>1242</v>
      </c>
      <c r="G92" s="503"/>
      <c r="H92" s="1479" t="s">
        <v>769</v>
      </c>
      <c r="I92" s="1480"/>
      <c r="J92" s="503" t="s">
        <v>1241</v>
      </c>
      <c r="K92" s="475"/>
      <c r="L92" s="164" t="s">
        <v>1235</v>
      </c>
      <c r="M92" s="490" t="s">
        <v>1233</v>
      </c>
      <c r="N92" s="479" t="s">
        <v>1010</v>
      </c>
      <c r="O92" s="35" t="s">
        <v>1011</v>
      </c>
    </row>
    <row r="93" spans="1:15" ht="15.95" hidden="1" customHeight="1">
      <c r="B93" s="165"/>
      <c r="C93" s="166"/>
      <c r="D93" s="167"/>
      <c r="E93" s="168"/>
      <c r="F93" s="169"/>
      <c r="G93" s="170"/>
      <c r="H93" s="1481" t="s">
        <v>1210</v>
      </c>
      <c r="I93" s="1482"/>
      <c r="J93" s="477"/>
      <c r="K93" s="492">
        <f t="shared" ref="K93:K105" si="0">F93*0.21</f>
        <v>0</v>
      </c>
      <c r="L93" s="173"/>
      <c r="M93" s="482"/>
      <c r="N93" s="479" t="s">
        <v>1012</v>
      </c>
      <c r="O93" s="35" t="s">
        <v>1013</v>
      </c>
    </row>
    <row r="94" spans="1:15" ht="15.95" hidden="1" customHeight="1">
      <c r="B94" s="171"/>
      <c r="C94" s="124"/>
      <c r="D94" s="172"/>
      <c r="E94" s="173"/>
      <c r="F94" s="169"/>
      <c r="G94" s="174"/>
      <c r="H94" s="1463" t="s">
        <v>1210</v>
      </c>
      <c r="I94" s="1464"/>
      <c r="J94" s="478"/>
      <c r="K94" s="480">
        <f t="shared" si="0"/>
        <v>0</v>
      </c>
      <c r="L94" s="173"/>
      <c r="M94" s="483"/>
      <c r="N94" s="479" t="s">
        <v>1014</v>
      </c>
      <c r="O94" s="35" t="s">
        <v>1015</v>
      </c>
    </row>
    <row r="95" spans="1:15" ht="15.95" hidden="1" customHeight="1">
      <c r="B95" s="171"/>
      <c r="C95" s="124"/>
      <c r="D95" s="172"/>
      <c r="E95" s="173"/>
      <c r="F95" s="169"/>
      <c r="G95" s="174"/>
      <c r="H95" s="1463" t="s">
        <v>1210</v>
      </c>
      <c r="I95" s="1464"/>
      <c r="J95" s="478"/>
      <c r="K95" s="480">
        <f t="shared" si="0"/>
        <v>0</v>
      </c>
      <c r="L95" s="173"/>
      <c r="M95" s="483"/>
      <c r="N95" s="479" t="s">
        <v>1016</v>
      </c>
      <c r="O95" s="35" t="s">
        <v>1017</v>
      </c>
    </row>
    <row r="96" spans="1:15" ht="15.95" hidden="1" customHeight="1">
      <c r="B96" s="171"/>
      <c r="C96" s="124"/>
      <c r="D96" s="172"/>
      <c r="E96" s="173"/>
      <c r="F96" s="169"/>
      <c r="G96" s="174"/>
      <c r="H96" s="1463" t="s">
        <v>1210</v>
      </c>
      <c r="I96" s="1464"/>
      <c r="J96" s="478"/>
      <c r="K96" s="480">
        <f t="shared" si="0"/>
        <v>0</v>
      </c>
      <c r="L96" s="173"/>
      <c r="M96" s="483"/>
      <c r="N96" s="479" t="s">
        <v>1018</v>
      </c>
      <c r="O96" s="35" t="s">
        <v>1019</v>
      </c>
    </row>
    <row r="97" spans="2:17" ht="15.95" hidden="1" customHeight="1">
      <c r="B97" s="171"/>
      <c r="C97" s="124"/>
      <c r="D97" s="172"/>
      <c r="E97" s="173"/>
      <c r="F97" s="169"/>
      <c r="G97" s="174"/>
      <c r="H97" s="1463" t="s">
        <v>1210</v>
      </c>
      <c r="I97" s="1464"/>
      <c r="J97" s="478"/>
      <c r="K97" s="480">
        <f t="shared" si="0"/>
        <v>0</v>
      </c>
      <c r="L97" s="173"/>
      <c r="M97" s="483"/>
      <c r="N97" s="479" t="s">
        <v>1020</v>
      </c>
      <c r="O97" s="35" t="s">
        <v>1021</v>
      </c>
    </row>
    <row r="98" spans="2:17" ht="15.95" hidden="1" customHeight="1">
      <c r="B98" s="171"/>
      <c r="C98" s="124"/>
      <c r="D98" s="172"/>
      <c r="E98" s="173"/>
      <c r="F98" s="169"/>
      <c r="G98" s="174"/>
      <c r="H98" s="1463" t="s">
        <v>1210</v>
      </c>
      <c r="I98" s="1464"/>
      <c r="J98" s="478"/>
      <c r="K98" s="480">
        <f t="shared" si="0"/>
        <v>0</v>
      </c>
      <c r="L98" s="173"/>
      <c r="M98" s="483"/>
      <c r="N98" s="479" t="s">
        <v>1022</v>
      </c>
      <c r="O98" s="35" t="s">
        <v>1023</v>
      </c>
      <c r="P98" s="38" t="s">
        <v>1142</v>
      </c>
      <c r="Q98" s="38" t="s">
        <v>1143</v>
      </c>
    </row>
    <row r="99" spans="2:17" ht="15.95" hidden="1" customHeight="1">
      <c r="B99" s="171"/>
      <c r="C99" s="124"/>
      <c r="D99" s="172"/>
      <c r="E99" s="173"/>
      <c r="F99" s="169"/>
      <c r="G99" s="174"/>
      <c r="H99" s="1463" t="s">
        <v>1210</v>
      </c>
      <c r="I99" s="1464"/>
      <c r="J99" s="478"/>
      <c r="K99" s="480">
        <f t="shared" si="0"/>
        <v>0</v>
      </c>
      <c r="L99" s="173"/>
      <c r="M99" s="483"/>
      <c r="N99" s="479" t="s">
        <v>1024</v>
      </c>
      <c r="O99" s="35" t="s">
        <v>1025</v>
      </c>
      <c r="P99" s="38" t="s">
        <v>1144</v>
      </c>
      <c r="Q99" s="38" t="s">
        <v>1145</v>
      </c>
    </row>
    <row r="100" spans="2:17" ht="15.95" hidden="1" customHeight="1">
      <c r="B100" s="171"/>
      <c r="C100" s="124"/>
      <c r="D100" s="172"/>
      <c r="E100" s="173"/>
      <c r="F100" s="169"/>
      <c r="G100" s="174"/>
      <c r="H100" s="1463" t="s">
        <v>1210</v>
      </c>
      <c r="I100" s="1464"/>
      <c r="J100" s="478"/>
      <c r="K100" s="480">
        <f t="shared" si="0"/>
        <v>0</v>
      </c>
      <c r="L100" s="173"/>
      <c r="M100" s="483"/>
      <c r="N100" s="479" t="s">
        <v>1026</v>
      </c>
      <c r="O100" s="35" t="s">
        <v>1027</v>
      </c>
      <c r="P100" s="38" t="s">
        <v>1146</v>
      </c>
      <c r="Q100" s="38" t="s">
        <v>1147</v>
      </c>
    </row>
    <row r="101" spans="2:17" ht="15.95" hidden="1" customHeight="1">
      <c r="B101" s="171"/>
      <c r="C101" s="124"/>
      <c r="D101" s="172"/>
      <c r="E101" s="173"/>
      <c r="F101" s="169"/>
      <c r="G101" s="174"/>
      <c r="H101" s="1463" t="s">
        <v>1210</v>
      </c>
      <c r="I101" s="1464"/>
      <c r="J101" s="478"/>
      <c r="K101" s="480">
        <f t="shared" si="0"/>
        <v>0</v>
      </c>
      <c r="L101" s="173"/>
      <c r="M101" s="483"/>
      <c r="N101" s="479" t="s">
        <v>1028</v>
      </c>
      <c r="O101" s="35" t="s">
        <v>1029</v>
      </c>
      <c r="P101" s="38" t="s">
        <v>1148</v>
      </c>
      <c r="Q101" s="38" t="s">
        <v>1149</v>
      </c>
    </row>
    <row r="102" spans="2:17" ht="15.95" hidden="1" customHeight="1">
      <c r="B102" s="171"/>
      <c r="C102" s="124"/>
      <c r="D102" s="172"/>
      <c r="E102" s="173"/>
      <c r="F102" s="169"/>
      <c r="G102" s="174"/>
      <c r="H102" s="1463" t="s">
        <v>1210</v>
      </c>
      <c r="I102" s="1464"/>
      <c r="J102" s="478"/>
      <c r="K102" s="480">
        <f t="shared" si="0"/>
        <v>0</v>
      </c>
      <c r="L102" s="173"/>
      <c r="M102" s="483"/>
      <c r="N102" s="479" t="s">
        <v>1030</v>
      </c>
      <c r="O102" s="35" t="s">
        <v>1031</v>
      </c>
      <c r="P102" s="38" t="s">
        <v>1150</v>
      </c>
      <c r="Q102" s="38" t="s">
        <v>1151</v>
      </c>
    </row>
    <row r="103" spans="2:17" ht="15.95" hidden="1" customHeight="1">
      <c r="B103" s="171"/>
      <c r="C103" s="124"/>
      <c r="D103" s="172"/>
      <c r="E103" s="173"/>
      <c r="F103" s="169"/>
      <c r="G103" s="174"/>
      <c r="H103" s="1463" t="s">
        <v>1210</v>
      </c>
      <c r="I103" s="1464"/>
      <c r="J103" s="478"/>
      <c r="K103" s="480">
        <f t="shared" si="0"/>
        <v>0</v>
      </c>
      <c r="L103" s="173"/>
      <c r="M103" s="483"/>
      <c r="N103" s="479" t="s">
        <v>1032</v>
      </c>
      <c r="O103" s="35" t="s">
        <v>1033</v>
      </c>
      <c r="P103" s="38" t="s">
        <v>1152</v>
      </c>
      <c r="Q103" s="38" t="s">
        <v>1153</v>
      </c>
    </row>
    <row r="104" spans="2:17" ht="15.95" hidden="1" customHeight="1">
      <c r="B104" s="171"/>
      <c r="C104" s="124"/>
      <c r="D104" s="172"/>
      <c r="E104" s="173"/>
      <c r="F104" s="169"/>
      <c r="G104" s="174"/>
      <c r="H104" s="1463" t="s">
        <v>1210</v>
      </c>
      <c r="I104" s="1464"/>
      <c r="J104" s="478"/>
      <c r="K104" s="480">
        <f t="shared" si="0"/>
        <v>0</v>
      </c>
      <c r="L104" s="173"/>
      <c r="M104" s="483"/>
      <c r="N104" s="479" t="s">
        <v>1034</v>
      </c>
      <c r="O104" s="35" t="s">
        <v>1035</v>
      </c>
      <c r="P104" s="38" t="s">
        <v>1154</v>
      </c>
      <c r="Q104" s="38" t="s">
        <v>1155</v>
      </c>
    </row>
    <row r="105" spans="2:17" ht="15.95" hidden="1" customHeight="1" thickBot="1">
      <c r="B105" s="175"/>
      <c r="C105" s="176"/>
      <c r="D105" s="177"/>
      <c r="E105" s="178"/>
      <c r="F105" s="169"/>
      <c r="G105" s="179"/>
      <c r="H105" s="1463" t="s">
        <v>1210</v>
      </c>
      <c r="I105" s="1464"/>
      <c r="J105" s="478"/>
      <c r="K105" s="481">
        <f t="shared" si="0"/>
        <v>0</v>
      </c>
      <c r="L105" s="178"/>
      <c r="M105" s="484"/>
      <c r="N105" s="479" t="s">
        <v>1036</v>
      </c>
      <c r="O105" s="35" t="s">
        <v>1037</v>
      </c>
      <c r="P105" s="38" t="s">
        <v>1156</v>
      </c>
      <c r="Q105" s="38" t="s">
        <v>1157</v>
      </c>
    </row>
    <row r="106" spans="2:17" ht="15.95" hidden="1" customHeight="1" thickBot="1">
      <c r="B106" s="180" t="s">
        <v>770</v>
      </c>
      <c r="C106" s="181"/>
      <c r="D106" s="182" t="s">
        <v>1211</v>
      </c>
      <c r="E106" s="487" t="s">
        <v>1211</v>
      </c>
      <c r="F106" s="183">
        <f>SUM(F93:F105)</f>
        <v>0</v>
      </c>
      <c r="G106" s="184"/>
      <c r="H106" s="1477">
        <f>SUM(H93:H105)</f>
        <v>0</v>
      </c>
      <c r="I106" s="1478"/>
      <c r="J106" s="185">
        <f>SUM(J93:J105)</f>
        <v>0</v>
      </c>
      <c r="K106" s="183">
        <f>SUM(K93:K105)</f>
        <v>0</v>
      </c>
      <c r="L106" s="493" t="s">
        <v>1211</v>
      </c>
      <c r="M106" s="487" t="s">
        <v>1211</v>
      </c>
      <c r="N106" s="479" t="s">
        <v>1038</v>
      </c>
      <c r="O106" s="35" t="s">
        <v>1039</v>
      </c>
      <c r="P106" s="38" t="s">
        <v>1158</v>
      </c>
      <c r="Q106" s="38" t="s">
        <v>1159</v>
      </c>
    </row>
    <row r="107" spans="2:17" ht="13.5" hidden="1" customHeight="1">
      <c r="B107" s="33" t="s">
        <v>771</v>
      </c>
      <c r="P107" s="38" t="s">
        <v>1160</v>
      </c>
      <c r="Q107" s="38" t="s">
        <v>265</v>
      </c>
    </row>
    <row r="108" spans="2:17" ht="13.5" hidden="1" customHeight="1">
      <c r="B108" s="39" t="s">
        <v>772</v>
      </c>
      <c r="C108" s="1462">
        <f>SUM(F106,H106,K106)</f>
        <v>0</v>
      </c>
      <c r="D108" s="1462"/>
    </row>
    <row r="109" spans="2:17" ht="13.5" hidden="1" customHeight="1">
      <c r="B109" s="39"/>
      <c r="C109" s="186"/>
      <c r="D109" s="133"/>
      <c r="N109" s="486"/>
      <c r="O109" s="486"/>
    </row>
    <row r="110" spans="2:17" hidden="1">
      <c r="B110" s="33" t="s">
        <v>1244</v>
      </c>
      <c r="N110" s="485">
        <v>1</v>
      </c>
      <c r="O110" s="485" t="s">
        <v>1143</v>
      </c>
    </row>
    <row r="111" spans="2:17" hidden="1">
      <c r="B111" s="33" t="s">
        <v>773</v>
      </c>
      <c r="N111" s="485">
        <v>2</v>
      </c>
      <c r="O111" s="485" t="s">
        <v>1145</v>
      </c>
    </row>
    <row r="112" spans="2:17" hidden="1">
      <c r="B112" s="39" t="s">
        <v>774</v>
      </c>
      <c r="N112" s="485">
        <v>3</v>
      </c>
      <c r="O112" s="485" t="s">
        <v>1147</v>
      </c>
    </row>
    <row r="113" spans="1:15" hidden="1">
      <c r="B113" s="40" t="s">
        <v>775</v>
      </c>
      <c r="N113" s="485">
        <v>4</v>
      </c>
      <c r="O113" s="485" t="s">
        <v>1149</v>
      </c>
    </row>
    <row r="114" spans="1:15" hidden="1">
      <c r="B114" s="39" t="s">
        <v>776</v>
      </c>
      <c r="F114" s="33" t="s">
        <v>777</v>
      </c>
      <c r="N114" s="485">
        <v>5</v>
      </c>
      <c r="O114" s="485" t="s">
        <v>1151</v>
      </c>
    </row>
    <row r="115" spans="1:15" hidden="1">
      <c r="B115" s="33" t="s">
        <v>778</v>
      </c>
      <c r="F115" s="33" t="s">
        <v>779</v>
      </c>
      <c r="N115" s="485">
        <v>6</v>
      </c>
      <c r="O115" s="485" t="s">
        <v>1153</v>
      </c>
    </row>
    <row r="116" spans="1:15" hidden="1">
      <c r="B116" s="33" t="s">
        <v>780</v>
      </c>
      <c r="F116" s="33" t="s">
        <v>1161</v>
      </c>
      <c r="K116" s="41" t="s">
        <v>781</v>
      </c>
      <c r="N116" s="485">
        <v>7</v>
      </c>
      <c r="O116" s="485" t="s">
        <v>1155</v>
      </c>
    </row>
    <row r="117" spans="1:15" hidden="1">
      <c r="H117" s="148" t="str">
        <f>H65</f>
        <v>N°FIA:</v>
      </c>
      <c r="I117" s="187" t="str">
        <f>I65</f>
        <v>0 / 0</v>
      </c>
      <c r="N117" s="485">
        <v>8</v>
      </c>
      <c r="O117" s="485" t="s">
        <v>1157</v>
      </c>
    </row>
    <row r="118" spans="1:15" hidden="1">
      <c r="A118" s="33" t="s">
        <v>782</v>
      </c>
      <c r="D118" s="1451" t="s">
        <v>807</v>
      </c>
      <c r="E118" s="1451"/>
      <c r="N118" s="485">
        <v>81</v>
      </c>
      <c r="O118" s="485" t="s">
        <v>1159</v>
      </c>
    </row>
    <row r="119" spans="1:15" hidden="1">
      <c r="A119" s="42"/>
      <c r="B119" s="188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N119" s="485">
        <v>9</v>
      </c>
      <c r="O119" s="485" t="s">
        <v>265</v>
      </c>
    </row>
    <row r="120" spans="1:15" ht="14.25" hidden="1" customHeight="1">
      <c r="A120" s="42"/>
      <c r="B120" s="1452"/>
      <c r="C120" s="1453"/>
      <c r="D120" s="1453"/>
      <c r="E120" s="1453"/>
      <c r="F120" s="1453"/>
      <c r="G120" s="1453"/>
      <c r="H120" s="1453"/>
      <c r="I120" s="1453"/>
      <c r="J120" s="1453"/>
      <c r="K120" s="1453"/>
      <c r="L120" s="42"/>
    </row>
    <row r="121" spans="1:15" hidden="1">
      <c r="A121" s="42"/>
      <c r="B121" s="1453"/>
      <c r="C121" s="1453"/>
      <c r="D121" s="1453"/>
      <c r="E121" s="1453"/>
      <c r="F121" s="1453"/>
      <c r="G121" s="1453"/>
      <c r="H121" s="1453"/>
      <c r="I121" s="1453"/>
      <c r="J121" s="1453"/>
      <c r="K121" s="1453"/>
      <c r="L121" s="42"/>
      <c r="N121" s="491" t="s">
        <v>1236</v>
      </c>
    </row>
    <row r="122" spans="1:15" hidden="1">
      <c r="A122" s="42"/>
      <c r="B122" s="1453"/>
      <c r="C122" s="1453"/>
      <c r="D122" s="1453"/>
      <c r="E122" s="1453"/>
      <c r="F122" s="1453"/>
      <c r="G122" s="1453"/>
      <c r="H122" s="1453"/>
      <c r="I122" s="1453"/>
      <c r="J122" s="1453"/>
      <c r="K122" s="1453"/>
      <c r="L122" s="42"/>
      <c r="N122" s="491" t="s">
        <v>1237</v>
      </c>
    </row>
    <row r="123" spans="1:15" hidden="1">
      <c r="A123" s="42"/>
      <c r="B123" s="1453"/>
      <c r="C123" s="1453"/>
      <c r="D123" s="1453"/>
      <c r="E123" s="1453"/>
      <c r="F123" s="1453"/>
      <c r="G123" s="1453"/>
      <c r="H123" s="1453"/>
      <c r="I123" s="1453"/>
      <c r="J123" s="1453"/>
      <c r="K123" s="1453"/>
      <c r="L123" s="42"/>
    </row>
    <row r="124" spans="1:15" hidden="1">
      <c r="A124" s="42"/>
      <c r="B124" s="1453"/>
      <c r="C124" s="1453"/>
      <c r="D124" s="1453"/>
      <c r="E124" s="1453"/>
      <c r="F124" s="1453"/>
      <c r="G124" s="1453"/>
      <c r="H124" s="1453"/>
      <c r="I124" s="1453"/>
      <c r="J124" s="1453"/>
      <c r="K124" s="1453"/>
      <c r="L124" s="42"/>
    </row>
    <row r="125" spans="1:15" ht="10.5" hidden="1" customHeight="1">
      <c r="A125" s="42"/>
      <c r="B125" s="1453"/>
      <c r="C125" s="1453"/>
      <c r="D125" s="1453"/>
      <c r="E125" s="1453"/>
      <c r="F125" s="1453"/>
      <c r="G125" s="1453"/>
      <c r="H125" s="1453"/>
      <c r="I125" s="1453"/>
      <c r="J125" s="1453"/>
      <c r="K125" s="1453"/>
      <c r="L125" s="42"/>
    </row>
    <row r="126" spans="1:15" ht="15" hidden="1" customHeight="1">
      <c r="A126" s="42"/>
      <c r="B126" s="1453"/>
      <c r="C126" s="1453"/>
      <c r="D126" s="1453"/>
      <c r="E126" s="1453"/>
      <c r="F126" s="1453"/>
      <c r="G126" s="1453"/>
      <c r="H126" s="1453"/>
      <c r="I126" s="1453"/>
      <c r="J126" s="1453"/>
      <c r="K126" s="1453"/>
      <c r="L126" s="42"/>
    </row>
    <row r="127" spans="1:15" ht="15" hidden="1" customHeight="1">
      <c r="A127" s="42"/>
      <c r="B127" s="1453"/>
      <c r="C127" s="1453"/>
      <c r="D127" s="1453"/>
      <c r="E127" s="1453"/>
      <c r="F127" s="1453"/>
      <c r="G127" s="1453"/>
      <c r="H127" s="1453"/>
      <c r="I127" s="1453"/>
      <c r="J127" s="1453"/>
      <c r="K127" s="1453"/>
      <c r="L127" s="42"/>
    </row>
    <row r="128" spans="1:15" ht="15" hidden="1" customHeight="1">
      <c r="A128" s="42"/>
      <c r="B128" s="1453"/>
      <c r="C128" s="1453"/>
      <c r="D128" s="1453"/>
      <c r="E128" s="1453"/>
      <c r="F128" s="1453"/>
      <c r="G128" s="1453"/>
      <c r="H128" s="1453"/>
      <c r="I128" s="1453"/>
      <c r="J128" s="1453"/>
      <c r="K128" s="1453"/>
      <c r="L128" s="42"/>
    </row>
    <row r="129" spans="1:12" ht="15" hidden="1" customHeight="1">
      <c r="A129" s="42"/>
      <c r="B129" s="1453"/>
      <c r="C129" s="1453"/>
      <c r="D129" s="1453"/>
      <c r="E129" s="1453"/>
      <c r="F129" s="1453"/>
      <c r="G129" s="1453"/>
      <c r="H129" s="1453"/>
      <c r="I129" s="1453"/>
      <c r="J129" s="1453"/>
      <c r="K129" s="1453"/>
      <c r="L129" s="42"/>
    </row>
    <row r="130" spans="1:12" ht="15" hidden="1" customHeight="1">
      <c r="A130" s="42"/>
      <c r="B130" s="1453"/>
      <c r="C130" s="1453"/>
      <c r="D130" s="1453"/>
      <c r="E130" s="1453"/>
      <c r="F130" s="1453"/>
      <c r="G130" s="1453"/>
      <c r="H130" s="1453"/>
      <c r="I130" s="1453"/>
      <c r="J130" s="1453"/>
      <c r="K130" s="1453"/>
      <c r="L130" s="42"/>
    </row>
    <row r="131" spans="1:12" hidden="1">
      <c r="A131" s="42"/>
      <c r="B131" s="1453"/>
      <c r="C131" s="1453"/>
      <c r="D131" s="1453"/>
      <c r="E131" s="1453"/>
      <c r="F131" s="1453"/>
      <c r="G131" s="1453"/>
      <c r="H131" s="1453"/>
      <c r="I131" s="1453"/>
      <c r="J131" s="1453"/>
      <c r="K131" s="1453"/>
      <c r="L131" s="42"/>
    </row>
    <row r="132" spans="1:12" hidden="1">
      <c r="A132" s="42"/>
      <c r="B132" s="1453"/>
      <c r="C132" s="1453"/>
      <c r="D132" s="1453"/>
      <c r="E132" s="1453"/>
      <c r="F132" s="1453"/>
      <c r="G132" s="1453"/>
      <c r="H132" s="1453"/>
      <c r="I132" s="1453"/>
      <c r="J132" s="1453"/>
      <c r="K132" s="1453"/>
      <c r="L132" s="42"/>
    </row>
    <row r="133" spans="1:12" hidden="1">
      <c r="A133" s="42"/>
      <c r="B133" s="1453"/>
      <c r="C133" s="1453"/>
      <c r="D133" s="1453"/>
      <c r="E133" s="1453"/>
      <c r="F133" s="1453"/>
      <c r="G133" s="1453"/>
      <c r="H133" s="1453"/>
      <c r="I133" s="1453"/>
      <c r="J133" s="1453"/>
      <c r="K133" s="1453"/>
      <c r="L133" s="42"/>
    </row>
    <row r="134" spans="1:12" ht="15" hidden="1" customHeight="1">
      <c r="A134" s="42"/>
      <c r="B134" s="1453"/>
      <c r="C134" s="1453"/>
      <c r="D134" s="1453"/>
      <c r="E134" s="1453"/>
      <c r="F134" s="1453"/>
      <c r="G134" s="1453"/>
      <c r="H134" s="1453"/>
      <c r="I134" s="1453"/>
      <c r="J134" s="1453"/>
      <c r="K134" s="1453"/>
      <c r="L134" s="42"/>
    </row>
    <row r="135" spans="1:12" ht="15" hidden="1" customHeight="1">
      <c r="A135" s="42"/>
      <c r="B135" s="1453"/>
      <c r="C135" s="1453"/>
      <c r="D135" s="1453"/>
      <c r="E135" s="1453"/>
      <c r="F135" s="1453"/>
      <c r="G135" s="1453"/>
      <c r="H135" s="1453"/>
      <c r="I135" s="1453"/>
      <c r="J135" s="1453"/>
      <c r="K135" s="1453"/>
      <c r="L135" s="42"/>
    </row>
    <row r="136" spans="1:12" ht="15" hidden="1" customHeight="1">
      <c r="A136" s="42"/>
      <c r="B136" s="1453"/>
      <c r="C136" s="1453"/>
      <c r="D136" s="1453"/>
      <c r="E136" s="1453"/>
      <c r="F136" s="1453"/>
      <c r="G136" s="1453"/>
      <c r="H136" s="1453"/>
      <c r="I136" s="1453"/>
      <c r="J136" s="1453"/>
      <c r="K136" s="1453"/>
      <c r="L136" s="42"/>
    </row>
    <row r="137" spans="1:12" ht="15" hidden="1" customHeight="1">
      <c r="A137" s="42"/>
      <c r="B137" s="1453"/>
      <c r="C137" s="1453"/>
      <c r="D137" s="1453"/>
      <c r="E137" s="1453"/>
      <c r="F137" s="1453"/>
      <c r="G137" s="1453"/>
      <c r="H137" s="1453"/>
      <c r="I137" s="1453"/>
      <c r="J137" s="1453"/>
      <c r="K137" s="1453"/>
      <c r="L137" s="42"/>
    </row>
    <row r="138" spans="1:12" ht="15" hidden="1" customHeight="1">
      <c r="A138" s="42"/>
      <c r="B138" s="1453"/>
      <c r="C138" s="1453"/>
      <c r="D138" s="1453"/>
      <c r="E138" s="1453"/>
      <c r="F138" s="1453"/>
      <c r="G138" s="1453"/>
      <c r="H138" s="1453"/>
      <c r="I138" s="1453"/>
      <c r="J138" s="1453"/>
      <c r="K138" s="1453"/>
      <c r="L138" s="42"/>
    </row>
    <row r="139" spans="1:12" ht="15" hidden="1" customHeight="1">
      <c r="A139" s="42"/>
      <c r="B139" s="1453"/>
      <c r="C139" s="1453"/>
      <c r="D139" s="1453"/>
      <c r="E139" s="1453"/>
      <c r="F139" s="1453"/>
      <c r="G139" s="1453"/>
      <c r="H139" s="1453"/>
      <c r="I139" s="1453"/>
      <c r="J139" s="1453"/>
      <c r="K139" s="1453"/>
      <c r="L139" s="42"/>
    </row>
    <row r="140" spans="1:12" ht="15" hidden="1" customHeight="1">
      <c r="A140" s="42"/>
      <c r="B140" s="1453"/>
      <c r="C140" s="1453"/>
      <c r="D140" s="1453"/>
      <c r="E140" s="1453"/>
      <c r="F140" s="1453"/>
      <c r="G140" s="1453"/>
      <c r="H140" s="1453"/>
      <c r="I140" s="1453"/>
      <c r="J140" s="1453"/>
      <c r="K140" s="1453"/>
      <c r="L140" s="42"/>
    </row>
    <row r="141" spans="1:12" ht="15" hidden="1" customHeight="1">
      <c r="A141" s="42"/>
      <c r="B141" s="1453"/>
      <c r="C141" s="1453"/>
      <c r="D141" s="1453"/>
      <c r="E141" s="1453"/>
      <c r="F141" s="1453"/>
      <c r="G141" s="1453"/>
      <c r="H141" s="1453"/>
      <c r="I141" s="1453"/>
      <c r="J141" s="1453"/>
      <c r="K141" s="1453"/>
      <c r="L141" s="42"/>
    </row>
    <row r="142" spans="1:12" ht="15" hidden="1" customHeight="1">
      <c r="A142" s="42"/>
      <c r="B142" s="1453"/>
      <c r="C142" s="1453"/>
      <c r="D142" s="1453"/>
      <c r="E142" s="1453"/>
      <c r="F142" s="1453"/>
      <c r="G142" s="1453"/>
      <c r="H142" s="1453"/>
      <c r="I142" s="1453"/>
      <c r="J142" s="1453"/>
      <c r="K142" s="1453"/>
      <c r="L142" s="42"/>
    </row>
    <row r="143" spans="1:12" ht="15" hidden="1" customHeight="1">
      <c r="A143" s="42"/>
      <c r="B143" s="1453"/>
      <c r="C143" s="1453"/>
      <c r="D143" s="1453"/>
      <c r="E143" s="1453"/>
      <c r="F143" s="1453"/>
      <c r="G143" s="1453"/>
      <c r="H143" s="1453"/>
      <c r="I143" s="1453"/>
      <c r="J143" s="1453"/>
      <c r="K143" s="1453"/>
      <c r="L143" s="42"/>
    </row>
    <row r="144" spans="1:12" hidden="1">
      <c r="A144" s="42"/>
      <c r="B144" s="1453"/>
      <c r="C144" s="1453"/>
      <c r="D144" s="1453"/>
      <c r="E144" s="1453"/>
      <c r="F144" s="1453"/>
      <c r="G144" s="1453"/>
      <c r="H144" s="1453"/>
      <c r="I144" s="1453"/>
      <c r="J144" s="1453"/>
      <c r="K144" s="1453"/>
      <c r="L144" s="42"/>
    </row>
    <row r="145" spans="1:13" hidden="1">
      <c r="A145" s="42"/>
      <c r="B145" s="1453"/>
      <c r="C145" s="1453"/>
      <c r="D145" s="1453"/>
      <c r="E145" s="1453"/>
      <c r="F145" s="1453"/>
      <c r="G145" s="1453"/>
      <c r="H145" s="1453"/>
      <c r="I145" s="1453"/>
      <c r="J145" s="1453"/>
      <c r="K145" s="1453"/>
      <c r="L145" s="42"/>
    </row>
    <row r="146" spans="1:13" hidden="1">
      <c r="A146" s="42"/>
      <c r="B146" s="1453"/>
      <c r="C146" s="1453"/>
      <c r="D146" s="1453"/>
      <c r="E146" s="1453"/>
      <c r="F146" s="1453"/>
      <c r="G146" s="1453"/>
      <c r="H146" s="1453"/>
      <c r="I146" s="1453"/>
      <c r="J146" s="1453"/>
      <c r="K146" s="1453"/>
      <c r="L146" s="42"/>
    </row>
    <row r="147" spans="1:13" ht="28.5" hidden="1" customHeight="1">
      <c r="A147" s="42"/>
      <c r="B147" s="1453"/>
      <c r="C147" s="1453"/>
      <c r="D147" s="1453"/>
      <c r="E147" s="1453"/>
      <c r="F147" s="1453"/>
      <c r="G147" s="1453"/>
      <c r="H147" s="1453"/>
      <c r="I147" s="1453"/>
      <c r="J147" s="1453"/>
      <c r="K147" s="1453"/>
      <c r="L147" s="42"/>
    </row>
    <row r="148" spans="1:13" ht="26.25" hidden="1" customHeight="1">
      <c r="A148" s="42"/>
      <c r="B148" s="1453"/>
      <c r="C148" s="1453"/>
      <c r="D148" s="1453"/>
      <c r="E148" s="1453"/>
      <c r="F148" s="1453"/>
      <c r="G148" s="1453"/>
      <c r="H148" s="1453"/>
      <c r="I148" s="1453"/>
      <c r="J148" s="1453"/>
      <c r="K148" s="1453"/>
      <c r="L148" s="42"/>
    </row>
    <row r="149" spans="1:13" hidden="1">
      <c r="A149" s="42"/>
      <c r="B149" s="1453"/>
      <c r="C149" s="1453"/>
      <c r="D149" s="1453"/>
      <c r="E149" s="1453"/>
      <c r="F149" s="1453"/>
      <c r="G149" s="1453"/>
      <c r="H149" s="1453"/>
      <c r="I149" s="1453"/>
      <c r="J149" s="1453"/>
      <c r="K149" s="1453"/>
      <c r="L149" s="42"/>
    </row>
    <row r="150" spans="1:13" hidden="1">
      <c r="A150" s="42"/>
      <c r="B150" s="1453"/>
      <c r="C150" s="1453"/>
      <c r="D150" s="1453"/>
      <c r="E150" s="1453"/>
      <c r="F150" s="1453"/>
      <c r="G150" s="1453"/>
      <c r="H150" s="1453"/>
      <c r="I150" s="1453"/>
      <c r="J150" s="1453"/>
      <c r="K150" s="1453"/>
      <c r="L150" s="42"/>
    </row>
    <row r="151" spans="1:13" hidden="1">
      <c r="A151" s="42"/>
      <c r="B151" s="1453"/>
      <c r="C151" s="1453"/>
      <c r="D151" s="1453"/>
      <c r="E151" s="1453"/>
      <c r="F151" s="1453"/>
      <c r="G151" s="1453"/>
      <c r="H151" s="1453"/>
      <c r="I151" s="1453"/>
      <c r="J151" s="1453"/>
      <c r="K151" s="1453"/>
      <c r="L151" s="42"/>
    </row>
    <row r="152" spans="1:13" hidden="1">
      <c r="A152" s="42"/>
      <c r="B152" s="1453"/>
      <c r="C152" s="1453"/>
      <c r="D152" s="1453"/>
      <c r="E152" s="1453"/>
      <c r="F152" s="1453"/>
      <c r="G152" s="1453"/>
      <c r="H152" s="1453"/>
      <c r="I152" s="1453"/>
      <c r="J152" s="1453"/>
      <c r="K152" s="1453"/>
      <c r="L152" s="42"/>
    </row>
    <row r="153" spans="1:13" hidden="1">
      <c r="A153" s="42"/>
      <c r="B153" s="1453"/>
      <c r="C153" s="1453"/>
      <c r="D153" s="1453"/>
      <c r="E153" s="1453"/>
      <c r="F153" s="1453"/>
      <c r="G153" s="1453"/>
      <c r="H153" s="1453"/>
      <c r="I153" s="1453"/>
      <c r="J153" s="1453"/>
      <c r="K153" s="1453"/>
      <c r="L153" s="42"/>
    </row>
    <row r="154" spans="1:13" hidden="1">
      <c r="A154" s="42"/>
      <c r="B154" s="189"/>
      <c r="C154" s="189"/>
      <c r="D154" s="189"/>
      <c r="E154" s="189"/>
      <c r="F154" s="189"/>
      <c r="G154" s="189"/>
      <c r="H154" s="189"/>
      <c r="I154" s="189"/>
      <c r="J154" s="189"/>
      <c r="K154" s="189"/>
      <c r="L154" s="42"/>
    </row>
    <row r="155" spans="1:13" hidden="1">
      <c r="A155" s="39" t="s">
        <v>783</v>
      </c>
      <c r="H155" s="1454" t="str">
        <f>Budget!N5 &amp; ", le"</f>
        <v>, le</v>
      </c>
      <c r="I155" s="1454"/>
      <c r="J155" s="1454"/>
      <c r="K155" s="1455">
        <f>Budget!J7</f>
        <v>0</v>
      </c>
      <c r="L155" s="1455"/>
      <c r="M155" s="1446"/>
    </row>
    <row r="156" spans="1:13" hidden="1">
      <c r="J156" s="41">
        <f>Budget!N9</f>
        <v>0</v>
      </c>
      <c r="K156" s="190">
        <f>Budget!N6</f>
        <v>0</v>
      </c>
      <c r="L156" s="190"/>
    </row>
    <row r="157" spans="1:13" hidden="1">
      <c r="J157" s="190"/>
      <c r="K157" s="190"/>
      <c r="L157" s="190"/>
    </row>
    <row r="158" spans="1:13" hidden="1">
      <c r="K158" s="41"/>
    </row>
    <row r="159" spans="1:13" hidden="1">
      <c r="A159" s="26"/>
      <c r="B159" s="26"/>
      <c r="C159" s="26"/>
      <c r="D159" s="26"/>
      <c r="E159" s="133"/>
      <c r="K159" s="191"/>
    </row>
    <row r="160" spans="1:13" hidden="1">
      <c r="B160" s="33" t="s">
        <v>784</v>
      </c>
      <c r="C160" s="26"/>
      <c r="D160" s="1449"/>
      <c r="E160" s="1449"/>
      <c r="F160" s="1450" t="str">
        <f>IF(OR(MOD(LEFT(TEXT(D160,"000000000000"),10),97)=VALUE(RIGHT(TEXT(D160,"000000000000"),2)),AND(MOD(LEFT(TEXT(D160,"000000000000"),10),97)=0,VALUE(RIGHT(TEXT(D160,"000000000000"),2))=97)),"","!! N° incorrect !!")</f>
        <v/>
      </c>
      <c r="G160" s="1450"/>
      <c r="H160" s="1450"/>
      <c r="I160" s="1450"/>
      <c r="J160" s="41">
        <f>Budget!N10</f>
        <v>0</v>
      </c>
      <c r="K160" s="192">
        <f>Budget!N7</f>
        <v>0</v>
      </c>
    </row>
  </sheetData>
  <customSheetViews>
    <customSheetView guid="{0E119D24-1648-11D6-96DB-00A024CFB246}" scale="75" showGridLines="0" zeroValues="0" showRuler="0">
      <rowBreaks count="1" manualBreakCount="1">
        <brk id="60" max="65535" man="1"/>
      </rowBreaks>
      <pageMargins left="0.25" right="0.25" top="0.19685039370078741" bottom="0.11811023622047245" header="0" footer="0"/>
      <pageSetup paperSize="9" scale="90" orientation="portrait" blackAndWhite="1" horizontalDpi="300" verticalDpi="300" r:id="rId1"/>
      <headerFooter alignWithMargins="0"/>
    </customSheetView>
    <customSheetView guid="{666CE5F8-0F01-4246-8501-D3EAFC05BD86}" showGridLines="0" zeroValues="0" fitToPage="1" hiddenRows="1" state="hidden" showRuler="0" topLeftCell="A65536">
      <selection sqref="A1:IV65536"/>
      <rowBreaks count="2" manualBreakCount="2">
        <brk id="61" max="12" man="1"/>
        <brk id="116" max="12" man="1"/>
      </rowBreaks>
      <pageMargins left="0.25" right="0.24" top="0.19685039370078741" bottom="0.11811023622047245" header="0" footer="0"/>
      <pageSetup paperSize="9" fitToHeight="0" orientation="portrait" blackAndWhite="1" horizontalDpi="300" verticalDpi="300" r:id="rId2"/>
      <headerFooter alignWithMargins="0"/>
    </customSheetView>
  </customSheetViews>
  <mergeCells count="44">
    <mergeCell ref="H106:I106"/>
    <mergeCell ref="H99:I99"/>
    <mergeCell ref="H100:I100"/>
    <mergeCell ref="H101:I101"/>
    <mergeCell ref="H102:I102"/>
    <mergeCell ref="H92:I92"/>
    <mergeCell ref="H93:I93"/>
    <mergeCell ref="H94:I94"/>
    <mergeCell ref="H103:I103"/>
    <mergeCell ref="H104:I104"/>
    <mergeCell ref="H105:I105"/>
    <mergeCell ref="D88:E88"/>
    <mergeCell ref="F88:K88"/>
    <mergeCell ref="H95:I95"/>
    <mergeCell ref="H96:I96"/>
    <mergeCell ref="J46:L46"/>
    <mergeCell ref="J48:L48"/>
    <mergeCell ref="C108:D108"/>
    <mergeCell ref="D86:E86"/>
    <mergeCell ref="H97:I97"/>
    <mergeCell ref="H98:I98"/>
    <mergeCell ref="H91:I91"/>
    <mergeCell ref="F46:I46"/>
    <mergeCell ref="E69:G69"/>
    <mergeCell ref="H73:J73"/>
    <mergeCell ref="F48:I48"/>
    <mergeCell ref="E70:G70"/>
    <mergeCell ref="I6:J6"/>
    <mergeCell ref="I7:J7"/>
    <mergeCell ref="I8:J8"/>
    <mergeCell ref="I9:J9"/>
    <mergeCell ref="I10:J10"/>
    <mergeCell ref="B26:D26"/>
    <mergeCell ref="E26:F26"/>
    <mergeCell ref="B31:D31"/>
    <mergeCell ref="E27:F27"/>
    <mergeCell ref="E25:F25"/>
    <mergeCell ref="D160:E160"/>
    <mergeCell ref="F160:I160"/>
    <mergeCell ref="D118:E118"/>
    <mergeCell ref="B120:K153"/>
    <mergeCell ref="H155:J155"/>
    <mergeCell ref="K155:M155"/>
    <mergeCell ref="B32:D32"/>
  </mergeCells>
  <phoneticPr fontId="0" type="noConversion"/>
  <dataValidations xWindow="508" yWindow="505" count="19">
    <dataValidation type="list" allowBlank="1" showInputMessage="1" showErrorMessage="1" sqref="J52 C50 K67 C69:C70 D75 C41">
      <formula1>ouinon</formula1>
    </dataValidation>
    <dataValidation type="date" operator="greaterThanOrEqual" allowBlank="1" showInputMessage="1" showErrorMessage="1" error="Format Date Incorrect" prompt="format : jj/mm/aa" sqref="J69:J70 K73:K74 K77">
      <formula1>1</formula1>
    </dataValidation>
    <dataValidation type="list" allowBlank="1" showInputMessage="1" showErrorMessage="1" sqref="H75">
      <formula1>Stat_Bov</formula1>
    </dataValidation>
    <dataValidation type="list" allowBlank="1" showInputMessage="1" showErrorMessage="1" sqref="D118:E118">
      <formula1>AVIS</formula1>
    </dataValidation>
    <dataValidation type="list" allowBlank="1" showInputMessage="1" showErrorMessage="1" sqref="B31:B32">
      <formula1>$O$33:$O$43</formula1>
    </dataValidation>
    <dataValidation type="list" allowBlank="1" showInputMessage="1" showErrorMessage="1" sqref="E26 K26">
      <formula1>$O$18:$O$25</formula1>
    </dataValidation>
    <dataValidation type="textLength" allowBlank="1" showInputMessage="1" showErrorMessage="1" errorTitle="Réf permis de bâtir" error="La longeur maximale de la référence est de 20 caractères" sqref="E69:G69">
      <formula1>0</formula1>
      <formula2>20</formula2>
    </dataValidation>
    <dataValidation type="textLength" allowBlank="1" showInputMessage="1" showErrorMessage="1" errorTitle="Réf permis d'exploiter" error="La longeur maximale de la référence est de 20 caractères._x000a_" sqref="E70:G70">
      <formula1>0</formula1>
      <formula2>20</formula2>
    </dataValidation>
    <dataValidation type="list" showInputMessage="1" showErrorMessage="1" sqref="C22">
      <formula1>ouinon</formula1>
    </dataValidation>
    <dataValidation type="decimal" operator="greaterThanOrEqual" allowBlank="1" showInputMessage="1" showErrorMessage="1" sqref="D52">
      <formula1>0</formula1>
    </dataValidation>
    <dataValidation type="list" allowBlank="1" showInputMessage="1" showErrorMessage="1" sqref="F46:I46 F48:I48">
      <formula1>$N$49:$N$106</formula1>
    </dataValidation>
    <dataValidation type="list" allowBlank="1" showInputMessage="1" showErrorMessage="1" sqref="C85:C88">
      <formula1>$N$10:$N$11</formula1>
    </dataValidation>
    <dataValidation type="list" allowBlank="1" showInputMessage="1" showErrorMessage="1" sqref="M93:M105 C89">
      <formula1>$N$13:$N$14</formula1>
    </dataValidation>
    <dataValidation type="list" allowBlank="1" showInputMessage="1" showErrorMessage="1" sqref="D93:D105">
      <formula1>$N$110:$N$119</formula1>
    </dataValidation>
    <dataValidation type="list" allowBlank="1" showInputMessage="1" showErrorMessage="1" sqref="L93:L105">
      <formula1>$N$121:$N$122</formula1>
    </dataValidation>
    <dataValidation type="date" operator="greaterThanOrEqual" allowBlank="1" showInputMessage="1" showErrorMessage="1" sqref="E25:F25">
      <formula1>7306</formula1>
    </dataValidation>
    <dataValidation type="decimal" allowBlank="1" showInputMessage="1" showErrorMessage="1" sqref="F86">
      <formula1>0</formula1>
      <formula2>1</formula2>
    </dataValidation>
    <dataValidation type="whole" allowBlank="1" showInputMessage="1" showErrorMessage="1" sqref="E93:E105">
      <formula1>1990</formula1>
      <formula2>2080</formula2>
    </dataValidation>
    <dataValidation type="decimal" allowBlank="1" showInputMessage="1" showErrorMessage="1" sqref="F93:F105 J93:J105">
      <formula1>0</formula1>
      <formula2>128000000</formula2>
    </dataValidation>
  </dataValidations>
  <printOptions gridLinesSet="0"/>
  <pageMargins left="0.25" right="0.24" top="0.19685039370078741" bottom="0.11811023622047245" header="0" footer="0"/>
  <pageSetup paperSize="9" fitToHeight="0" orientation="portrait" blackAndWhite="1" horizontalDpi="300" verticalDpi="300" r:id="rId3"/>
  <headerFooter alignWithMargins="0"/>
  <rowBreaks count="2" manualBreakCount="2">
    <brk id="61" max="12" man="1"/>
    <brk id="116" max="12" man="1"/>
  </row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I71"/>
  <sheetViews>
    <sheetView topLeftCell="IV1" workbookViewId="0">
      <selection sqref="A1:IV65536"/>
    </sheetView>
  </sheetViews>
  <sheetFormatPr baseColWidth="10" defaultColWidth="0" defaultRowHeight="12.75"/>
  <cols>
    <col min="1" max="16384" width="0" style="26" hidden="1"/>
  </cols>
  <sheetData>
    <row r="1" spans="1:9" s="45" customFormat="1">
      <c r="A1" s="44" t="s">
        <v>691</v>
      </c>
      <c r="B1" s="44"/>
      <c r="C1" s="44"/>
      <c r="D1" s="44"/>
    </row>
    <row r="2" spans="1:9" s="45" customFormat="1">
      <c r="A2" s="44" t="s">
        <v>835</v>
      </c>
      <c r="B2" s="44"/>
      <c r="C2" s="44"/>
      <c r="D2" s="44"/>
    </row>
    <row r="4" spans="1:9" ht="13.5" thickBot="1">
      <c r="A4" s="46" t="s">
        <v>836</v>
      </c>
      <c r="B4" s="46"/>
      <c r="D4" s="43"/>
      <c r="E4" s="43"/>
      <c r="F4" s="43"/>
    </row>
    <row r="5" spans="1:9" s="47" customFormat="1">
      <c r="D5" s="43"/>
      <c r="E5" s="48" t="s">
        <v>694</v>
      </c>
      <c r="F5" s="49">
        <f>+DOSDGA</f>
        <v>0</v>
      </c>
    </row>
    <row r="6" spans="1:9">
      <c r="D6" s="43"/>
      <c r="E6" s="50" t="s">
        <v>837</v>
      </c>
      <c r="F6" s="51">
        <f>DOSSE</f>
        <v>0</v>
      </c>
    </row>
    <row r="7" spans="1:9">
      <c r="D7" s="43"/>
      <c r="E7" s="50"/>
      <c r="F7" s="52"/>
    </row>
    <row r="8" spans="1:9" ht="13.5" thickBot="1">
      <c r="D8" s="43"/>
      <c r="E8" s="53" t="s">
        <v>838</v>
      </c>
      <c r="F8" s="54">
        <f>DOSDL</f>
        <v>0</v>
      </c>
    </row>
    <row r="9" spans="1:9">
      <c r="D9" s="43"/>
      <c r="E9" s="43"/>
      <c r="F9" s="43"/>
    </row>
    <row r="10" spans="1:9">
      <c r="A10" s="55" t="s">
        <v>839</v>
      </c>
      <c r="B10" s="56"/>
      <c r="C10" s="56"/>
      <c r="D10" s="56"/>
      <c r="E10" s="56"/>
      <c r="F10" s="56"/>
      <c r="G10" s="43"/>
      <c r="I10" s="57" t="s">
        <v>724</v>
      </c>
    </row>
    <row r="11" spans="1:9">
      <c r="A11" s="43" t="s">
        <v>675</v>
      </c>
      <c r="B11" s="58"/>
      <c r="C11" s="59"/>
      <c r="D11" s="59"/>
      <c r="E11" s="60">
        <f>XANNOM</f>
        <v>0</v>
      </c>
      <c r="F11" s="59"/>
      <c r="G11" s="43"/>
      <c r="I11" s="61" t="s">
        <v>167</v>
      </c>
    </row>
    <row r="12" spans="1:9">
      <c r="A12" s="43" t="s">
        <v>840</v>
      </c>
      <c r="B12" s="58"/>
      <c r="C12" s="59"/>
      <c r="D12" s="59"/>
      <c r="E12" s="60">
        <f>XANADR</f>
        <v>0</v>
      </c>
      <c r="F12" s="59"/>
      <c r="G12" s="43"/>
    </row>
    <row r="13" spans="1:9">
      <c r="A13" s="43" t="s">
        <v>841</v>
      </c>
      <c r="B13" s="43"/>
      <c r="C13" s="62"/>
      <c r="D13" s="59"/>
      <c r="E13" s="63">
        <f>XANDNA</f>
        <v>0</v>
      </c>
      <c r="F13" s="43"/>
      <c r="G13" s="43"/>
    </row>
    <row r="14" spans="1:9">
      <c r="A14" s="43" t="s">
        <v>842</v>
      </c>
      <c r="B14" s="43"/>
      <c r="C14" s="43"/>
      <c r="D14" s="43"/>
      <c r="E14" s="60">
        <f>XANLDI</f>
        <v>0</v>
      </c>
      <c r="F14" s="43"/>
      <c r="G14" s="43"/>
    </row>
    <row r="15" spans="1:9">
      <c r="A15" s="43" t="s">
        <v>843</v>
      </c>
      <c r="B15" s="43"/>
      <c r="C15" s="43"/>
      <c r="D15" s="43"/>
      <c r="E15" s="64"/>
      <c r="F15" s="43"/>
      <c r="G15" s="43"/>
    </row>
    <row r="16" spans="1:9">
      <c r="A16" s="43" t="s">
        <v>1047</v>
      </c>
      <c r="B16" s="43"/>
      <c r="C16" s="43"/>
      <c r="D16" s="65"/>
      <c r="E16" s="63">
        <f>XANDIN</f>
        <v>0</v>
      </c>
      <c r="F16" s="43"/>
      <c r="G16" s="43"/>
    </row>
    <row r="17" spans="1:7">
      <c r="A17" s="43" t="s">
        <v>844</v>
      </c>
      <c r="B17" s="43"/>
      <c r="C17" s="43"/>
      <c r="D17" s="43"/>
      <c r="E17" s="66">
        <f>XANCPT</f>
        <v>0</v>
      </c>
      <c r="F17" s="59"/>
      <c r="G17" s="43"/>
    </row>
    <row r="18" spans="1:7">
      <c r="A18" s="43" t="s">
        <v>845</v>
      </c>
      <c r="B18" s="43"/>
      <c r="C18" s="43"/>
      <c r="D18" s="43"/>
      <c r="E18" s="60">
        <f>XONLC</f>
        <v>0</v>
      </c>
      <c r="F18" s="60">
        <f>XONBUR</f>
        <v>0</v>
      </c>
      <c r="G18" s="43"/>
    </row>
    <row r="19" spans="1:7">
      <c r="A19" s="43" t="s">
        <v>846</v>
      </c>
      <c r="B19" s="43"/>
      <c r="C19" s="43"/>
      <c r="D19" s="43"/>
      <c r="E19" s="64"/>
      <c r="F19" s="43"/>
      <c r="G19" s="43"/>
    </row>
    <row r="20" spans="1:7">
      <c r="A20" s="43" t="s">
        <v>847</v>
      </c>
      <c r="B20" s="43"/>
      <c r="C20" s="43"/>
      <c r="D20" s="43"/>
      <c r="E20" s="60">
        <f>XONSYG</f>
        <v>0</v>
      </c>
      <c r="F20" s="43"/>
      <c r="G20" s="43"/>
    </row>
    <row r="21" spans="1:7">
      <c r="A21" s="43" t="s">
        <v>848</v>
      </c>
      <c r="B21" s="43"/>
      <c r="C21" s="43"/>
      <c r="D21" s="43"/>
      <c r="E21" s="60">
        <f>XANSYG</f>
        <v>0</v>
      </c>
      <c r="F21" s="43"/>
      <c r="G21" s="43"/>
    </row>
    <row r="22" spans="1:7">
      <c r="A22" s="43" t="s">
        <v>849</v>
      </c>
      <c r="B22" s="43"/>
      <c r="C22" s="43"/>
      <c r="D22" s="43"/>
      <c r="E22" s="67">
        <f>XONQLT</f>
        <v>0</v>
      </c>
      <c r="F22" s="43"/>
      <c r="G22" s="43"/>
    </row>
    <row r="23" spans="1:7">
      <c r="A23" s="43" t="s">
        <v>850</v>
      </c>
      <c r="B23" s="43"/>
      <c r="C23" s="43"/>
      <c r="D23" s="43"/>
      <c r="E23" s="64"/>
      <c r="F23" s="43"/>
      <c r="G23" s="43"/>
    </row>
    <row r="24" spans="1:7">
      <c r="A24" s="43" t="s">
        <v>1163</v>
      </c>
      <c r="B24" s="43"/>
      <c r="C24" s="43"/>
      <c r="D24" s="43"/>
      <c r="E24" s="64"/>
      <c r="F24" s="43"/>
      <c r="G24" s="43"/>
    </row>
    <row r="25" spans="1:7">
      <c r="A25" s="43" t="s">
        <v>851</v>
      </c>
      <c r="B25" s="43"/>
      <c r="C25" s="43"/>
      <c r="D25" s="43"/>
      <c r="E25" s="60">
        <f>XANLSU</f>
        <v>0</v>
      </c>
      <c r="F25" s="43"/>
      <c r="G25" s="43"/>
    </row>
    <row r="26" spans="1:7">
      <c r="A26" s="55" t="s">
        <v>852</v>
      </c>
      <c r="B26" s="55"/>
      <c r="C26" s="56"/>
      <c r="D26" s="56"/>
      <c r="E26" s="56"/>
      <c r="F26" s="56"/>
      <c r="G26" s="43"/>
    </row>
    <row r="27" spans="1:7">
      <c r="A27" s="58" t="s">
        <v>853</v>
      </c>
      <c r="B27" s="58"/>
      <c r="C27" s="43"/>
      <c r="D27" s="43"/>
      <c r="E27" s="64"/>
      <c r="F27" s="43" t="s">
        <v>857</v>
      </c>
      <c r="G27" s="43"/>
    </row>
    <row r="28" spans="1:7">
      <c r="A28" s="43" t="s">
        <v>854</v>
      </c>
      <c r="B28" s="43"/>
      <c r="C28" s="43"/>
      <c r="D28" s="43"/>
      <c r="E28" s="64"/>
      <c r="F28" s="43" t="s">
        <v>857</v>
      </c>
      <c r="G28" s="43"/>
    </row>
    <row r="29" spans="1:7">
      <c r="A29" s="43" t="s">
        <v>855</v>
      </c>
      <c r="B29" s="43"/>
      <c r="C29" s="43"/>
      <c r="D29" s="43"/>
      <c r="E29" s="43"/>
      <c r="F29" s="43"/>
      <c r="G29" s="43"/>
    </row>
    <row r="30" spans="1:7">
      <c r="A30" s="43"/>
      <c r="B30" s="43" t="s">
        <v>856</v>
      </c>
      <c r="C30" s="43"/>
      <c r="D30" s="43"/>
      <c r="E30" s="64"/>
      <c r="F30" s="59" t="s">
        <v>857</v>
      </c>
      <c r="G30" s="43"/>
    </row>
    <row r="31" spans="1:7">
      <c r="A31" s="43"/>
      <c r="B31" s="43" t="s">
        <v>858</v>
      </c>
      <c r="C31" s="43"/>
      <c r="D31" s="43"/>
      <c r="E31" s="64"/>
      <c r="F31" s="59" t="s">
        <v>857</v>
      </c>
      <c r="G31" s="43"/>
    </row>
    <row r="32" spans="1:7">
      <c r="A32" s="43"/>
      <c r="B32" s="43" t="s">
        <v>638</v>
      </c>
      <c r="C32" s="43"/>
      <c r="D32" s="43"/>
      <c r="E32" s="64"/>
      <c r="F32" s="59" t="s">
        <v>857</v>
      </c>
      <c r="G32" s="43"/>
    </row>
    <row r="33" spans="1:7">
      <c r="A33" s="43"/>
      <c r="B33" s="43" t="s">
        <v>859</v>
      </c>
      <c r="C33" s="43"/>
      <c r="D33" s="43"/>
      <c r="E33" s="64"/>
      <c r="F33" s="59" t="s">
        <v>857</v>
      </c>
      <c r="G33" s="43"/>
    </row>
    <row r="34" spans="1:7">
      <c r="A34" s="43" t="s">
        <v>860</v>
      </c>
      <c r="B34" s="43"/>
      <c r="C34" s="43"/>
      <c r="D34" s="43"/>
      <c r="E34" s="43"/>
      <c r="F34" s="43"/>
      <c r="G34" s="43"/>
    </row>
    <row r="35" spans="1:7">
      <c r="A35" s="43"/>
      <c r="B35" s="43" t="s">
        <v>558</v>
      </c>
      <c r="C35" s="43"/>
      <c r="D35" s="43"/>
      <c r="E35" s="64"/>
      <c r="F35" s="59" t="s">
        <v>857</v>
      </c>
      <c r="G35" s="43"/>
    </row>
    <row r="36" spans="1:7">
      <c r="A36" s="43"/>
      <c r="B36" s="43" t="s">
        <v>646</v>
      </c>
      <c r="C36" s="43"/>
      <c r="D36" s="43"/>
      <c r="E36" s="64"/>
      <c r="F36" s="59" t="s">
        <v>857</v>
      </c>
      <c r="G36" s="43"/>
    </row>
    <row r="37" spans="1:7">
      <c r="A37" s="43" t="s">
        <v>861</v>
      </c>
      <c r="B37" s="43"/>
      <c r="C37" s="43"/>
      <c r="D37" s="43"/>
      <c r="E37" s="43"/>
      <c r="F37" s="43"/>
      <c r="G37" s="43"/>
    </row>
    <row r="38" spans="1:7">
      <c r="A38" s="43"/>
      <c r="B38" s="43" t="s">
        <v>862</v>
      </c>
      <c r="C38" s="43"/>
      <c r="D38" s="43"/>
      <c r="E38" s="64"/>
      <c r="F38" s="59" t="s">
        <v>857</v>
      </c>
      <c r="G38" s="43"/>
    </row>
    <row r="39" spans="1:7">
      <c r="A39" s="43"/>
      <c r="B39" s="43" t="s">
        <v>863</v>
      </c>
      <c r="C39" s="43"/>
      <c r="D39" s="43"/>
      <c r="E39" s="64"/>
      <c r="F39" s="59" t="s">
        <v>857</v>
      </c>
      <c r="G39" s="43"/>
    </row>
    <row r="40" spans="1:7">
      <c r="A40" s="43" t="s">
        <v>864</v>
      </c>
      <c r="B40" s="43"/>
      <c r="C40" s="43"/>
      <c r="D40" s="43"/>
      <c r="E40" s="43"/>
      <c r="F40" s="43"/>
      <c r="G40" s="43"/>
    </row>
    <row r="41" spans="1:7">
      <c r="A41" s="43" t="s">
        <v>865</v>
      </c>
      <c r="B41" s="43"/>
      <c r="C41" s="43"/>
      <c r="D41" s="43"/>
      <c r="E41" s="64"/>
      <c r="F41" s="59" t="s">
        <v>857</v>
      </c>
      <c r="G41" s="43"/>
    </row>
    <row r="42" spans="1:7">
      <c r="A42" s="43" t="s">
        <v>866</v>
      </c>
      <c r="B42" s="43"/>
      <c r="C42" s="43"/>
      <c r="D42" s="43"/>
      <c r="E42" s="64"/>
      <c r="F42" s="59" t="s">
        <v>857</v>
      </c>
      <c r="G42" s="43"/>
    </row>
    <row r="43" spans="1:7">
      <c r="A43" s="58" t="s">
        <v>867</v>
      </c>
      <c r="B43" s="58"/>
      <c r="C43" s="43"/>
      <c r="D43" s="43"/>
      <c r="E43" s="43"/>
      <c r="F43" s="43"/>
      <c r="G43" s="43"/>
    </row>
    <row r="44" spans="1:7">
      <c r="A44" s="43" t="s">
        <v>868</v>
      </c>
      <c r="B44" s="43"/>
      <c r="C44" s="43"/>
      <c r="D44" s="43"/>
      <c r="E44" s="64"/>
      <c r="F44" s="59"/>
      <c r="G44" s="43"/>
    </row>
    <row r="45" spans="1:7">
      <c r="A45" s="43" t="s">
        <v>869</v>
      </c>
      <c r="B45" s="43"/>
      <c r="C45" s="43"/>
      <c r="D45" s="43"/>
      <c r="E45" s="64"/>
      <c r="F45" s="59"/>
      <c r="G45" s="43"/>
    </row>
    <row r="46" spans="1:7">
      <c r="A46" s="43" t="s">
        <v>870</v>
      </c>
      <c r="B46" s="43"/>
      <c r="C46" s="43"/>
      <c r="D46" s="43"/>
      <c r="E46" s="64"/>
      <c r="F46" s="59"/>
      <c r="G46" s="43"/>
    </row>
    <row r="47" spans="1:7">
      <c r="A47" s="43" t="s">
        <v>871</v>
      </c>
      <c r="B47" s="43"/>
      <c r="C47" s="43"/>
      <c r="D47" s="43"/>
      <c r="E47" s="64"/>
      <c r="F47" s="59"/>
      <c r="G47" s="43"/>
    </row>
    <row r="48" spans="1:7">
      <c r="A48" s="43" t="s">
        <v>872</v>
      </c>
      <c r="B48" s="43"/>
      <c r="C48" s="43"/>
      <c r="D48" s="43"/>
      <c r="E48" s="64"/>
      <c r="F48" s="43"/>
      <c r="G48" s="43"/>
    </row>
    <row r="49" spans="1:7">
      <c r="A49" s="58" t="s">
        <v>873</v>
      </c>
      <c r="B49" s="43"/>
      <c r="C49" s="43"/>
      <c r="D49" s="43"/>
      <c r="E49" s="43"/>
      <c r="F49" s="43"/>
      <c r="G49" s="43"/>
    </row>
    <row r="50" spans="1:7">
      <c r="A50" s="43" t="s">
        <v>874</v>
      </c>
      <c r="B50" s="43"/>
      <c r="C50" s="43"/>
      <c r="D50" s="43"/>
      <c r="E50" s="64"/>
      <c r="F50" s="43"/>
      <c r="G50" s="43"/>
    </row>
    <row r="51" spans="1:7">
      <c r="A51" s="43" t="s">
        <v>875</v>
      </c>
      <c r="B51" s="43"/>
      <c r="C51" s="43"/>
      <c r="D51" s="43"/>
      <c r="E51" s="64"/>
      <c r="F51" s="43"/>
      <c r="G51" s="43"/>
    </row>
    <row r="52" spans="1:7">
      <c r="A52" s="58" t="s">
        <v>876</v>
      </c>
      <c r="B52" s="43"/>
      <c r="C52" s="43"/>
      <c r="D52" s="43"/>
      <c r="E52" s="43"/>
      <c r="F52" s="43"/>
      <c r="G52" s="43"/>
    </row>
    <row r="53" spans="1:7">
      <c r="A53" s="43" t="s">
        <v>877</v>
      </c>
      <c r="B53" s="43"/>
      <c r="C53" s="43"/>
      <c r="D53" s="43"/>
      <c r="E53" s="64"/>
      <c r="F53" s="43"/>
      <c r="G53" s="43"/>
    </row>
    <row r="54" spans="1:7">
      <c r="A54" s="43" t="s">
        <v>878</v>
      </c>
      <c r="B54" s="43"/>
      <c r="C54" s="43"/>
      <c r="D54" s="43"/>
      <c r="E54" s="64"/>
      <c r="F54" s="43"/>
      <c r="G54" s="43"/>
    </row>
    <row r="55" spans="1:7">
      <c r="A55" s="58" t="s">
        <v>879</v>
      </c>
      <c r="B55" s="58"/>
      <c r="C55" s="43"/>
      <c r="D55" s="43"/>
      <c r="E55" s="43"/>
      <c r="F55" s="43"/>
      <c r="G55" s="43"/>
    </row>
    <row r="56" spans="1:7">
      <c r="A56" s="43"/>
      <c r="B56" s="43" t="s">
        <v>880</v>
      </c>
      <c r="C56" s="43"/>
      <c r="D56" s="43"/>
      <c r="E56" s="64"/>
      <c r="F56" s="43" t="s">
        <v>857</v>
      </c>
      <c r="G56" s="43"/>
    </row>
    <row r="57" spans="1:7">
      <c r="A57" s="43"/>
      <c r="B57" s="43" t="s">
        <v>881</v>
      </c>
      <c r="C57" s="43"/>
      <c r="D57" s="43"/>
      <c r="E57" s="64"/>
      <c r="F57" s="43" t="s">
        <v>746</v>
      </c>
      <c r="G57" s="43"/>
    </row>
    <row r="58" spans="1:7">
      <c r="A58" s="43"/>
      <c r="B58" s="43" t="s">
        <v>882</v>
      </c>
      <c r="C58" s="43"/>
      <c r="D58" s="43"/>
      <c r="E58" s="64"/>
      <c r="F58" s="43" t="s">
        <v>746</v>
      </c>
      <c r="G58" s="43"/>
    </row>
    <row r="59" spans="1:7">
      <c r="A59" s="43"/>
      <c r="B59" s="43" t="s">
        <v>883</v>
      </c>
      <c r="C59" s="43"/>
      <c r="D59" s="43"/>
      <c r="E59" s="64"/>
      <c r="F59" s="43" t="s">
        <v>857</v>
      </c>
      <c r="G59" s="43"/>
    </row>
    <row r="60" spans="1:7">
      <c r="A60" s="43"/>
      <c r="B60" s="43" t="s">
        <v>884</v>
      </c>
      <c r="C60" s="43"/>
      <c r="D60" s="43"/>
      <c r="E60" s="64"/>
      <c r="F60" s="43" t="s">
        <v>857</v>
      </c>
      <c r="G60" s="43"/>
    </row>
    <row r="61" spans="1:7">
      <c r="A61" s="43"/>
      <c r="B61" s="43" t="s">
        <v>885</v>
      </c>
      <c r="C61" s="43"/>
      <c r="D61" s="43"/>
      <c r="E61" s="64"/>
      <c r="F61" s="43" t="s">
        <v>857</v>
      </c>
      <c r="G61" s="43"/>
    </row>
    <row r="62" spans="1:7">
      <c r="A62" s="43"/>
      <c r="B62" s="43" t="s">
        <v>886</v>
      </c>
      <c r="C62" s="43"/>
      <c r="D62" s="43"/>
      <c r="E62" s="64"/>
      <c r="F62" s="43" t="s">
        <v>857</v>
      </c>
      <c r="G62" s="43"/>
    </row>
    <row r="63" spans="1:7">
      <c r="A63" s="43"/>
      <c r="B63" s="43"/>
      <c r="C63" s="43"/>
      <c r="D63" s="43"/>
      <c r="E63" s="43"/>
      <c r="F63" s="43"/>
      <c r="G63" s="43"/>
    </row>
    <row r="64" spans="1:7">
      <c r="A64" s="43"/>
      <c r="B64" s="43"/>
      <c r="C64" s="43"/>
      <c r="D64" s="43"/>
      <c r="E64" s="43" t="s">
        <v>887</v>
      </c>
      <c r="F64" s="43"/>
      <c r="G64" s="43"/>
    </row>
    <row r="65" spans="1:7">
      <c r="A65" s="43"/>
      <c r="B65" s="43"/>
      <c r="C65" s="43"/>
      <c r="D65" s="1483" t="str">
        <f>Budget!N5 &amp; ", le"</f>
        <v>, le</v>
      </c>
      <c r="E65" s="1483"/>
      <c r="F65" s="68">
        <f>Budget!J7</f>
        <v>0</v>
      </c>
      <c r="G65" s="43"/>
    </row>
    <row r="66" spans="1:7">
      <c r="D66" s="69" t="str">
        <f>TRIM(Budget!N9)</f>
        <v/>
      </c>
      <c r="E66" s="70"/>
      <c r="F66" s="70" t="str">
        <f>TRIM(Budget!N6)</f>
        <v/>
      </c>
    </row>
    <row r="71" spans="1:7">
      <c r="D71" s="69" t="str">
        <f>TRIM(Budget!N10)</f>
        <v/>
      </c>
      <c r="E71" s="70"/>
      <c r="F71" s="69" t="str">
        <f>TRIM(Budget!N7)</f>
        <v/>
      </c>
    </row>
  </sheetData>
  <customSheetViews>
    <customSheetView guid="{0E119D24-1648-11D6-96DB-00A024CFB246}" showRuler="0">
      <selection activeCell="E65" sqref="E65"/>
      <pageMargins left="0.78740157499999996" right="0.78740157499999996" top="0.984251969" bottom="0.984251969" header="0.4921259845" footer="0.4921259845"/>
      <headerFooter alignWithMargins="0"/>
    </customSheetView>
    <customSheetView guid="{666CE5F8-0F01-4246-8501-D3EAFC05BD86}" hiddenColumns="1" state="hidden" showRuler="0" topLeftCell="IV1">
      <selection sqref="A1:IV65536"/>
      <rowBreaks count="1" manualBreakCount="1">
        <brk id="42" max="5" man="1"/>
      </rowBreaks>
      <pageMargins left="0.78740157480314965" right="0.78740157480314965" top="0.98425196850393704" bottom="0.98425196850393704" header="0.51181102362204722" footer="0.51181102362204722"/>
      <pageSetup paperSize="9" orientation="portrait" blackAndWhite="1" r:id="rId1"/>
      <headerFooter alignWithMargins="0"/>
    </customSheetView>
  </customSheetViews>
  <mergeCells count="1">
    <mergeCell ref="D65:E65"/>
  </mergeCells>
  <phoneticPr fontId="0" type="noConversion"/>
  <dataValidations count="1">
    <dataValidation type="list" allowBlank="1" showInputMessage="1" showErrorMessage="1" sqref="E48 E25 E15 E18">
      <formula1>$I$10:$I$11</formula1>
    </dataValidation>
  </dataValidations>
  <pageMargins left="0.78740157480314965" right="0.78740157480314965" top="0.98425196850393704" bottom="0.98425196850393704" header="0.51181102362204722" footer="0.51181102362204722"/>
  <pageSetup paperSize="9" orientation="portrait" blackAndWhite="1" r:id="rId2"/>
  <headerFooter alignWithMargins="0"/>
  <rowBreaks count="1" manualBreakCount="1">
    <brk id="4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2:I46"/>
  <sheetViews>
    <sheetView topLeftCell="A34" workbookViewId="0">
      <selection activeCell="E40" sqref="E40"/>
    </sheetView>
  </sheetViews>
  <sheetFormatPr baseColWidth="10" defaultRowHeight="15"/>
  <cols>
    <col min="1" max="1" width="3.5546875" customWidth="1"/>
    <col min="2" max="2" width="20.44140625" customWidth="1"/>
    <col min="3" max="3" width="16.109375" customWidth="1"/>
    <col min="4" max="4" width="23" customWidth="1"/>
    <col min="5" max="5" width="11.44140625" customWidth="1"/>
  </cols>
  <sheetData>
    <row r="2" spans="1:7">
      <c r="A2" s="1484" t="s">
        <v>674</v>
      </c>
      <c r="B2" s="1485"/>
      <c r="C2" s="1485"/>
      <c r="D2" s="1485"/>
      <c r="E2" s="1485"/>
      <c r="F2" s="19"/>
    </row>
    <row r="3" spans="1:7">
      <c r="B3" s="5" t="s">
        <v>675</v>
      </c>
      <c r="C3" s="6" t="s">
        <v>676</v>
      </c>
      <c r="D3" s="22"/>
      <c r="E3" s="22"/>
      <c r="F3" s="22"/>
    </row>
    <row r="4" spans="1:7">
      <c r="B4" s="7" t="s">
        <v>798</v>
      </c>
      <c r="C4" s="6">
        <f>+DOSFIA</f>
        <v>0</v>
      </c>
      <c r="D4" s="22"/>
      <c r="E4" s="22"/>
      <c r="F4" s="22"/>
      <c r="G4" t="s">
        <v>799</v>
      </c>
    </row>
    <row r="5" spans="1:7">
      <c r="B5" s="2" t="s">
        <v>677</v>
      </c>
      <c r="C5" s="17">
        <f>IF(ISNA(BUDG_ANNEE_DEB), -1, YEAR(BUDG_ANNEE_DEB))</f>
        <v>1900</v>
      </c>
      <c r="D5" s="12" t="s">
        <v>809</v>
      </c>
      <c r="E5" s="13" t="str">
        <f>IF(ISNA(XONCOD), -1,  CONCATENATE("'",XONCOD, "'"))</f>
        <v>''</v>
      </c>
    </row>
    <row r="6" spans="1:7">
      <c r="B6" s="2" t="s">
        <v>678</v>
      </c>
      <c r="C6" s="17">
        <f>IF(ISNA(BUDG_ANNEE_FIN), -1, YEAR(BUDG_ANNEE_FIN))</f>
        <v>1900</v>
      </c>
      <c r="D6" s="2" t="s">
        <v>810</v>
      </c>
      <c r="E6" s="14" t="str">
        <f>IF(ISNA(XONCOF), -1, CONCATENATE("'",XONCOF,"'"))</f>
        <v>''</v>
      </c>
      <c r="G6" s="8" t="s">
        <v>724</v>
      </c>
    </row>
    <row r="7" spans="1:7">
      <c r="B7" s="4" t="s">
        <v>679</v>
      </c>
      <c r="C7" s="18">
        <f>IF(ISNA(BUDG_CULT_COM_AV), -1, BUDG_CULT_COM_AV)</f>
        <v>0</v>
      </c>
      <c r="D7" s="4" t="s">
        <v>811</v>
      </c>
      <c r="E7" s="14">
        <f>IF(ISNA(RAPT_PROP_EXPAN), -1,RAPT_PROP_EXPAN)</f>
        <v>0</v>
      </c>
      <c r="G7" s="9" t="s">
        <v>167</v>
      </c>
    </row>
    <row r="8" spans="1:7">
      <c r="B8" s="4" t="s">
        <v>680</v>
      </c>
      <c r="C8" s="18">
        <f>IF(ISNA(BUDG_CULT_COM_AP), -1, BUDG_CULT_COM_AP)</f>
        <v>0</v>
      </c>
      <c r="D8" s="4" t="s">
        <v>812</v>
      </c>
      <c r="E8" s="14" t="str">
        <f>IF(ISNA(RAPT_SIEGE_EXPLOIT),-1,CONCATENATE("'",UPPER(LEFT(RAPT_SIEGE_EXPLOIT,1)),"'"))</f>
        <v>''</v>
      </c>
      <c r="G8" t="s">
        <v>802</v>
      </c>
    </row>
    <row r="9" spans="1:7">
      <c r="B9" s="4" t="s">
        <v>681</v>
      </c>
      <c r="C9" s="18">
        <f>IF(ISNA(BUDG_CULT_FOUR_AV), -1,BUDG_CULT_FOUR_AV)</f>
        <v>0</v>
      </c>
      <c r="D9" s="4" t="s">
        <v>813</v>
      </c>
      <c r="E9" s="14">
        <f>IF(ISNA(RAPT_EXPL_PROP_AV), -1, RAPT_EXPL_PROP_AV)</f>
        <v>0</v>
      </c>
      <c r="G9" s="8" t="s">
        <v>803</v>
      </c>
    </row>
    <row r="10" spans="1:7">
      <c r="B10" s="4" t="s">
        <v>682</v>
      </c>
      <c r="C10" s="18">
        <f>IF(ISNA(BUDG_CULT_FOUR_AP), -1,BUDG_CULT_FOUR_AP)</f>
        <v>0</v>
      </c>
      <c r="D10" s="4" t="s">
        <v>814</v>
      </c>
      <c r="E10" s="14">
        <f>IF(ISNA(RAPT_EXPL_PROP_AP), -1, RAPT_EXPL_PROP_AP)</f>
        <v>0</v>
      </c>
      <c r="G10" s="10" t="s">
        <v>804</v>
      </c>
    </row>
    <row r="11" spans="1:7">
      <c r="B11" s="4" t="s">
        <v>683</v>
      </c>
      <c r="C11" s="18">
        <f>IF(ISNA(BUDG_CULT_HORT_AV), -1,BUDG_CULT_HORT_AV)</f>
        <v>0</v>
      </c>
      <c r="D11" s="4" t="s">
        <v>815</v>
      </c>
      <c r="E11" s="14">
        <f>IF(ISNA(RAPT_EXPL_LOCB_AV), -1, RAPT_EXPL_LOCB_AV)</f>
        <v>0</v>
      </c>
      <c r="G11" s="9" t="s">
        <v>805</v>
      </c>
    </row>
    <row r="12" spans="1:7">
      <c r="B12" s="4" t="s">
        <v>684</v>
      </c>
      <c r="C12" s="18">
        <f>IF(ISNA(BUDG_CULT_HORT_AP), -1,BUDG_CULT_HORT_AP)</f>
        <v>0</v>
      </c>
      <c r="D12" s="4" t="s">
        <v>816</v>
      </c>
      <c r="E12" s="14">
        <f>IF(ISNA(RAPT_EXPL_LOCB_AP), -1, RAPT_EXPL_LOCB_AP)</f>
        <v>0</v>
      </c>
    </row>
    <row r="13" spans="1:7">
      <c r="B13" s="4" t="s">
        <v>686</v>
      </c>
      <c r="C13" s="18">
        <f>IF(ISNA(BUDG_V_PRD_LAIT_AV), -1,BUDG_V_PRD_LAIT_AV)</f>
        <v>0</v>
      </c>
      <c r="D13" s="4" t="s">
        <v>817</v>
      </c>
      <c r="E13" s="14">
        <f>RAPT_EXPL_LOCC_AV</f>
        <v>0</v>
      </c>
      <c r="G13" t="s">
        <v>806</v>
      </c>
    </row>
    <row r="14" spans="1:7">
      <c r="B14" s="2" t="s">
        <v>685</v>
      </c>
      <c r="C14" s="18">
        <f>IF(ISNA(BUDG_V_PRD_LAIT_AP), -1,BUDG_V_PRD_LAIT_AP)</f>
        <v>0</v>
      </c>
      <c r="D14" s="4" t="s">
        <v>818</v>
      </c>
      <c r="E14" s="14">
        <f>IF(ISNA(RAPT_EXPL_LOCC_AP), -1, RAPT_EXPL_LOCC_AP)</f>
        <v>0</v>
      </c>
      <c r="G14" s="11" t="s">
        <v>807</v>
      </c>
    </row>
    <row r="15" spans="1:7">
      <c r="B15" s="2" t="s">
        <v>687</v>
      </c>
      <c r="C15" s="18">
        <f>IF(ISNA(BUDG_BOVIN_OVIN_AV), -1,BUDG_BOVIN_OVIN_AV)</f>
        <v>0</v>
      </c>
      <c r="D15" s="4" t="s">
        <v>819</v>
      </c>
      <c r="E15" s="14">
        <f>IF(ISNA(RAPT_TER_PROM_AV), -1, RAPT_TER_PROM_AV)</f>
        <v>0</v>
      </c>
      <c r="G15" s="11" t="s">
        <v>808</v>
      </c>
    </row>
    <row r="16" spans="1:7">
      <c r="B16" s="2" t="s">
        <v>688</v>
      </c>
      <c r="C16" s="18">
        <f>IF(ISNA(BUDG_BOVIN_OVIN_AP), -1,BUDG_BOVIN_OVIN_AP)</f>
        <v>0</v>
      </c>
      <c r="D16" s="4" t="s">
        <v>820</v>
      </c>
      <c r="E16" s="14">
        <f>IF(ISNA(RAPT_TER_PROM_AP), -1, RAPT_TER_PROM_AP)</f>
        <v>0</v>
      </c>
    </row>
    <row r="17" spans="2:9">
      <c r="B17" s="2" t="s">
        <v>689</v>
      </c>
      <c r="C17" s="18">
        <f>IF(ISNA(BUDG_PROD_PORC_AV), -1,BUDG_PROD_PORC_AV)</f>
        <v>0</v>
      </c>
      <c r="D17" s="4" t="s">
        <v>821</v>
      </c>
      <c r="E17" s="14">
        <f>IF(ISNA(RAPT_SERRES_AV), -1, RAPT_SERRES_AV)</f>
        <v>0</v>
      </c>
    </row>
    <row r="18" spans="2:9">
      <c r="B18" s="2" t="s">
        <v>690</v>
      </c>
      <c r="C18" s="18">
        <f>IF(ISNA(BUDG_PROD_PORC_AP), -1,BUDG_PROD_PORC_AP)</f>
        <v>0</v>
      </c>
      <c r="D18" s="4" t="s">
        <v>822</v>
      </c>
      <c r="E18" s="14">
        <f>IF(ISNA(RAPT_SERRES_AP), -1, RAPT_SERRES_AP)</f>
        <v>0</v>
      </c>
      <c r="G18" t="s">
        <v>888</v>
      </c>
    </row>
    <row r="19" spans="2:9">
      <c r="B19" s="2" t="s">
        <v>785</v>
      </c>
      <c r="C19" s="18">
        <f>IF(ISNA(BUDG_AUTRES_AV), -1,BUDG_AUTRES_AV)</f>
        <v>0</v>
      </c>
      <c r="D19" s="4" t="s">
        <v>823</v>
      </c>
      <c r="E19" s="14" t="str">
        <f>IF(ISNA(RAPT_PERMIS_BATIR),-1,CONCATENATE("'",UPPER(LEFT(RAPT_PERMIS_BATIR,1)),"'"))</f>
        <v>''</v>
      </c>
    </row>
    <row r="20" spans="2:9">
      <c r="B20" s="2" t="s">
        <v>786</v>
      </c>
      <c r="C20" s="18">
        <f>IF(ISNA(BUDG_AUTRES_AP), -1,BUDG_AUTRES_AP)</f>
        <v>0</v>
      </c>
      <c r="D20" s="4" t="s">
        <v>824</v>
      </c>
      <c r="E20" s="14" t="str">
        <f>IF(ISNA(RAPT_REF_PERM_BAT),-1,CONCATENATE("'",RAPT_REF_PERM_BAT,"'"))</f>
        <v>''</v>
      </c>
      <c r="G20" t="s">
        <v>889</v>
      </c>
    </row>
    <row r="21" spans="2:9">
      <c r="B21" s="2" t="s">
        <v>787</v>
      </c>
      <c r="C21" s="18">
        <f>IF(ISNA(BUDG_REV_EXPL_AV), -1,BUDG_REV_EXPL_AV)</f>
        <v>0</v>
      </c>
      <c r="D21" s="4" t="s">
        <v>825</v>
      </c>
      <c r="E21" s="3">
        <f>IF(RAPT_DATE_PERM_BAT=0,-1, RAPT_DATE_PERM_BAT)</f>
        <v>-1</v>
      </c>
      <c r="G21" t="s">
        <v>890</v>
      </c>
    </row>
    <row r="22" spans="2:9">
      <c r="B22" s="2" t="s">
        <v>788</v>
      </c>
      <c r="C22" s="18">
        <f>IF(ISNA(BUDG_REV_EXPL_AP), -1,BUDG_REV_EXPL_AP)</f>
        <v>0</v>
      </c>
      <c r="D22" s="4" t="s">
        <v>826</v>
      </c>
      <c r="E22" s="14" t="str">
        <f>IF(ISNA(RAPT_REF_PERM_EXP),-1,CONCATENATE("'",RAPT_REF_PERM_EXP,"'"))</f>
        <v>''</v>
      </c>
      <c r="G22" t="s">
        <v>891</v>
      </c>
    </row>
    <row r="23" spans="2:9">
      <c r="B23" s="2" t="s">
        <v>789</v>
      </c>
      <c r="C23" s="18">
        <f>IF(ISNA(BUDG_REV_COMP_AV), -1,BUDG_REV_COMP_AV)</f>
        <v>0</v>
      </c>
      <c r="D23" s="4" t="s">
        <v>898</v>
      </c>
      <c r="E23" s="3">
        <f>IF(RAPT_DAT_PERM_EXP=0, -1, RAPT_DAT_PERM_EXP)</f>
        <v>-1</v>
      </c>
      <c r="G23" t="s">
        <v>892</v>
      </c>
    </row>
    <row r="24" spans="2:9">
      <c r="B24" s="2" t="s">
        <v>790</v>
      </c>
      <c r="C24" s="18">
        <f>IF(ISNA(BUDG_REV_COMP_AP), -1,BUDG_REV_COMP_AP)</f>
        <v>0</v>
      </c>
      <c r="D24" s="4" t="s">
        <v>897</v>
      </c>
      <c r="E24" s="14" t="str">
        <f>IF(ISNA(RAPT_ORDRRE_SANIT),-1,CONCATENATE("'",UPPER(LEFT(RAPT_ORDRRE_SANIT,1)),"'"))</f>
        <v>''</v>
      </c>
      <c r="G24" t="s">
        <v>893</v>
      </c>
    </row>
    <row r="25" spans="2:9">
      <c r="B25" s="2" t="s">
        <v>791</v>
      </c>
      <c r="C25" s="18">
        <f>IF(ISNA(BUDG_UTH_AV), -1,BUDG_UTH_AV)</f>
        <v>0</v>
      </c>
      <c r="D25" s="4" t="s">
        <v>827</v>
      </c>
      <c r="E25" s="14" t="str">
        <f>IF(ISNA(RAPT_STATUT_BOVINS), -1, CONCATENATE("'",RAPT_STATUT_BOVINS, "'"))</f>
        <v>'B4'</v>
      </c>
    </row>
    <row r="26" spans="2:9">
      <c r="B26" s="2" t="s">
        <v>792</v>
      </c>
      <c r="C26" s="18">
        <f>IF(ISNA(BUDG_UTH_AP), -1,BUDG_UTH_AP)</f>
        <v>0</v>
      </c>
      <c r="D26" s="4" t="s">
        <v>828</v>
      </c>
      <c r="E26" s="14" t="str">
        <f>IF(ISNA(RAPT_STATUS_PORCS), -1, CONCATENATE("'",RAPT_STATUS_PORCS, "'"))</f>
        <v>''</v>
      </c>
    </row>
    <row r="27" spans="2:9">
      <c r="B27" s="2" t="s">
        <v>793</v>
      </c>
      <c r="C27" s="18">
        <f>IF(ISNA(BUDG_REV_REF_AV), -1,BUDG_REV_REF_AV)</f>
        <v>24352.240000000002</v>
      </c>
      <c r="D27" s="4" t="s">
        <v>829</v>
      </c>
      <c r="E27" s="14">
        <f>IF(ISNA(RAPT_PROD_LAIT_DEB), -1, RAPT_PROD_LAIT_DEB)</f>
        <v>-1</v>
      </c>
    </row>
    <row r="28" spans="2:9">
      <c r="B28" s="2" t="s">
        <v>794</v>
      </c>
      <c r="C28" s="18">
        <f>IF(ISNA(BUDG_REV_REF_AP), -1,BUDG_REV_REF_AP)</f>
        <v>24352.240000000002</v>
      </c>
      <c r="D28" s="4" t="s">
        <v>830</v>
      </c>
      <c r="E28" s="14">
        <f>IF(ISNA(RAPT_PROD_LAIT_FIN), -1, RAPT_PROD_LAIT_FIN)</f>
        <v>-1</v>
      </c>
    </row>
    <row r="29" spans="2:9">
      <c r="B29" s="2" t="s">
        <v>795</v>
      </c>
      <c r="C29" s="18">
        <f>IF(ISNA(BUDG_REV_ACCES_AV), -1,BUDG_REV_ACCES_AV)</f>
        <v>0</v>
      </c>
      <c r="D29" s="4" t="s">
        <v>831</v>
      </c>
      <c r="E29" s="14">
        <f>IF(ISNA(RAPT_QUOTA_FIN), -1, RAPT_QUOTA_FIN)</f>
        <v>0</v>
      </c>
      <c r="G29" s="1"/>
      <c r="H29" s="1"/>
      <c r="I29" s="1"/>
    </row>
    <row r="30" spans="2:9">
      <c r="B30" s="2" t="s">
        <v>796</v>
      </c>
      <c r="C30" s="18">
        <f>IF(ISNA(BUDG_REV_ACCES_AP), -1,BUDG_REV_ACCES_AP)</f>
        <v>0</v>
      </c>
      <c r="D30" s="4" t="s">
        <v>832</v>
      </c>
      <c r="E30" s="14" t="str">
        <f>IF(ISNA(RAPT_AVIS_TEC),-1,CONCATENATE("'",UPPER(LEFT(RAPT_AVIS_TEC,5)), "'"))</f>
        <v>'FAVOR'</v>
      </c>
      <c r="G30" s="25"/>
      <c r="H30" s="16"/>
      <c r="I30" s="1"/>
    </row>
    <row r="31" spans="2:9">
      <c r="B31" s="23" t="s">
        <v>797</v>
      </c>
      <c r="C31" s="24">
        <f>IF(ISNA(BUDG_AN_BUDGET), -1,BUDG_AN_BUDGET)</f>
        <v>1900</v>
      </c>
      <c r="D31" s="4" t="s">
        <v>833</v>
      </c>
      <c r="E31" s="20">
        <f>IF(RAPT_DATE_RAPPORT=0, -1, RAPT_DATE_RAPPORT)</f>
        <v>-1</v>
      </c>
      <c r="G31" s="25"/>
      <c r="H31" s="16"/>
      <c r="I31" s="1"/>
    </row>
    <row r="32" spans="2:9">
      <c r="D32" s="15" t="s">
        <v>834</v>
      </c>
      <c r="E32" s="21">
        <f>IF(ISNA(RAPT_REMARQUE), -1, RAPT_REMARQUE)</f>
        <v>0</v>
      </c>
      <c r="G32" s="16"/>
      <c r="H32" s="16"/>
      <c r="I32" s="16"/>
    </row>
    <row r="33" spans="4:9">
      <c r="D33" t="s">
        <v>900</v>
      </c>
      <c r="E33">
        <f>Budget!B368+Budget!B369+Budget!B370+Budget!B371</f>
        <v>0</v>
      </c>
      <c r="G33" s="16"/>
      <c r="H33" s="16"/>
      <c r="I33" s="16"/>
    </row>
    <row r="34" spans="4:9">
      <c r="D34" t="s">
        <v>901</v>
      </c>
      <c r="E34">
        <f>Budget!F950</f>
        <v>0</v>
      </c>
      <c r="G34" s="16"/>
      <c r="H34" s="16"/>
      <c r="I34" s="16"/>
    </row>
    <row r="35" spans="4:9">
      <c r="D35" t="s">
        <v>902</v>
      </c>
      <c r="E35">
        <f>Budget!B372+Budget!B373+Budget!B376+Budget!B377+(E43*0.66)</f>
        <v>0</v>
      </c>
      <c r="G35" s="1"/>
      <c r="H35" s="1"/>
      <c r="I35" s="1"/>
    </row>
    <row r="36" spans="4:9">
      <c r="D36" t="s">
        <v>903</v>
      </c>
      <c r="E36">
        <f>Budget!F951+(Budget!F952*0.66)</f>
        <v>0</v>
      </c>
      <c r="G36" s="25"/>
      <c r="H36" s="16"/>
      <c r="I36" s="1"/>
    </row>
    <row r="37" spans="4:9">
      <c r="D37" t="s">
        <v>904</v>
      </c>
      <c r="E37">
        <f>(Budget!B368+Budget!B369+Budget!B370+Budget!B371)*Budget!H950</f>
        <v>0</v>
      </c>
      <c r="G37" s="25"/>
      <c r="H37" s="16"/>
      <c r="I37" s="1"/>
    </row>
    <row r="38" spans="4:9">
      <c r="D38" t="s">
        <v>905</v>
      </c>
      <c r="E38">
        <f>Budget!J950</f>
        <v>0</v>
      </c>
      <c r="G38" s="1"/>
      <c r="H38" s="1"/>
      <c r="I38" s="1"/>
    </row>
    <row r="39" spans="4:9">
      <c r="D39" t="s">
        <v>906</v>
      </c>
      <c r="E39">
        <f>(Budget!B372+Budget!B373+Budget!B376+Budget!B377)*Budget!H951+(E45*Budget!H952)</f>
        <v>0</v>
      </c>
    </row>
    <row r="40" spans="4:9">
      <c r="D40" t="s">
        <v>907</v>
      </c>
      <c r="E40">
        <f>Budget!J951+Budget!J952</f>
        <v>0</v>
      </c>
    </row>
    <row r="41" spans="4:9">
      <c r="D41" t="s">
        <v>908</v>
      </c>
      <c r="E41">
        <v>0</v>
      </c>
    </row>
    <row r="42" spans="4:9">
      <c r="D42" s="1257" t="s">
        <v>909</v>
      </c>
      <c r="E42" s="1257">
        <f>IF(Budget!J968 = 0, Valeurs!F197,Budget!H970)</f>
        <v>0</v>
      </c>
    </row>
    <row r="43" spans="4:9">
      <c r="D43" t="s">
        <v>1360</v>
      </c>
      <c r="E43">
        <f>Budget!B374+Budget!B375</f>
        <v>0</v>
      </c>
    </row>
    <row r="44" spans="4:9">
      <c r="D44" t="s">
        <v>1361</v>
      </c>
      <c r="E44">
        <f>Budget!F952</f>
        <v>0</v>
      </c>
    </row>
    <row r="45" spans="4:9">
      <c r="D45" t="s">
        <v>1362</v>
      </c>
      <c r="E45">
        <f>(Budget!B374+Budget!B375)*Budget!H952</f>
        <v>0</v>
      </c>
    </row>
    <row r="46" spans="4:9">
      <c r="D46" t="s">
        <v>1363</v>
      </c>
      <c r="E46">
        <f>Budget!J952</f>
        <v>0</v>
      </c>
    </row>
  </sheetData>
  <dataConsolidate/>
  <customSheetViews>
    <customSheetView guid="{0E119D24-1648-11D6-96DB-00A024CFB246}" showRuler="0">
      <selection activeCell="F2" sqref="F2"/>
      <pageMargins left="0.78740157499999996" right="0.78740157499999996" top="0.984251969" bottom="0.984251969" header="0.4921259845" footer="0.4921259845"/>
      <pageSetup paperSize="9" orientation="portrait" horizontalDpi="4294967292" verticalDpi="0" r:id="rId1"/>
      <headerFooter alignWithMargins="0"/>
    </customSheetView>
    <customSheetView guid="{666CE5F8-0F01-4246-8501-D3EAFC05BD86}" state="hidden" showRuler="0">
      <pageMargins left="0.78740157499999996" right="0.78740157499999996" top="0.984251969" bottom="0.984251969" header="0.4921259845" footer="0.4921259845"/>
      <pageSetup paperSize="9" orientation="portrait" horizontalDpi="4294967292" r:id="rId2"/>
      <headerFooter alignWithMargins="0"/>
    </customSheetView>
  </customSheetViews>
  <mergeCells count="1">
    <mergeCell ref="A2:E2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2" r:id="rId3"/>
  <headerFooter alignWithMargins="0"/>
  <legacyDrawing r:id="rId4"/>
  <controls>
    <control shapeId="5129" r:id="rId5" name="TextBox1"/>
    <control shapeId="5128" r:id="rId6" name="Label2"/>
    <control shapeId="5125" r:id="rId7" name="OptionButton2"/>
    <control shapeId="5124" r:id="rId8" name="OptionButton1"/>
    <control shapeId="5123" r:id="rId9" name="CommandButton1"/>
  </controls>
</worksheet>
</file>

<file path=xl/worksheets/sheet6.xml><?xml version="1.0" encoding="utf-8"?>
<worksheet xmlns="http://schemas.openxmlformats.org/spreadsheetml/2006/main" xmlns:r="http://schemas.openxmlformats.org/officeDocument/2006/relationships">
  <sheetPr syncVertical="1" syncRef="B10" transitionEvaluation="1" codeName="Feuil5">
    <pageSetUpPr fitToPage="1"/>
  </sheetPr>
  <dimension ref="A1:V41"/>
  <sheetViews>
    <sheetView showGridLines="0" zoomScale="88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IV65536"/>
    </sheetView>
  </sheetViews>
  <sheetFormatPr baseColWidth="10" defaultColWidth="0" defaultRowHeight="12.75"/>
  <cols>
    <col min="1" max="1" width="3.44140625" style="26" hidden="1" customWidth="1"/>
    <col min="2" max="2" width="16.109375" style="26" hidden="1" customWidth="1"/>
    <col min="3" max="3" width="9.21875" style="26" hidden="1" customWidth="1"/>
    <col min="4" max="4" width="10.33203125" style="26" hidden="1" customWidth="1"/>
    <col min="5" max="5" width="23.109375" style="26" hidden="1" customWidth="1"/>
    <col min="6" max="6" width="14.109375" style="26" hidden="1" customWidth="1"/>
    <col min="7" max="7" width="14.33203125" style="26" hidden="1" customWidth="1"/>
    <col min="8" max="8" width="12.109375" style="26" hidden="1" customWidth="1"/>
    <col min="9" max="9" width="8.88671875" style="26" hidden="1" customWidth="1"/>
    <col min="10" max="10" width="5.109375" style="26" hidden="1" customWidth="1"/>
    <col min="11" max="11" width="3.6640625" style="26" hidden="1" customWidth="1"/>
    <col min="12" max="12" width="4.44140625" style="26" hidden="1" customWidth="1"/>
    <col min="13" max="13" width="9.44140625" style="26" hidden="1" customWidth="1"/>
    <col min="14" max="16384" width="0" style="26" hidden="1"/>
  </cols>
  <sheetData>
    <row r="1" spans="1:14">
      <c r="A1" s="193" t="s">
        <v>1084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4" ht="16.5" customHeight="1">
      <c r="A2" s="1486" t="str">
        <f>"factures du "&amp;TEXT(MIN(C10:C21),"jj/mm/aa")&amp;" au "&amp;TEXT(MAX(C10:C21),"jj/mm/aa")</f>
        <v>factures du 00/01/00 au 00/01/00</v>
      </c>
      <c r="B2" s="1486"/>
      <c r="C2" s="1486"/>
      <c r="D2" s="1486"/>
      <c r="E2" s="1486"/>
      <c r="F2" s="1486"/>
      <c r="G2" s="1486"/>
      <c r="H2" s="1486"/>
      <c r="I2" s="195"/>
    </row>
    <row r="3" spans="1:14">
      <c r="B3" s="196" t="s">
        <v>1085</v>
      </c>
      <c r="C3" s="197">
        <f>Budget!B7</f>
        <v>0</v>
      </c>
      <c r="G3" s="196" t="s">
        <v>66</v>
      </c>
      <c r="H3" s="198">
        <f>Budget!J4</f>
        <v>0</v>
      </c>
      <c r="I3" s="199"/>
      <c r="J3" s="200"/>
    </row>
    <row r="4" spans="1:14">
      <c r="B4" s="196" t="s">
        <v>1086</v>
      </c>
      <c r="C4" s="197" t="str">
        <f>Budget!B8</f>
        <v xml:space="preserve"> </v>
      </c>
      <c r="G4" s="201" t="s">
        <v>1087</v>
      </c>
      <c r="H4" s="1488">
        <f>Budget!J6</f>
        <v>0</v>
      </c>
      <c r="I4" s="1488"/>
      <c r="J4" s="1488"/>
    </row>
    <row r="5" spans="1:14">
      <c r="B5" s="196" t="s">
        <v>1088</v>
      </c>
      <c r="C5" s="197" t="str">
        <f>Budget!B9</f>
        <v xml:space="preserve"> </v>
      </c>
    </row>
    <row r="6" spans="1:14">
      <c r="B6" s="196" t="s">
        <v>1089</v>
      </c>
      <c r="C6" s="197" t="str">
        <f>Budget!B10</f>
        <v xml:space="preserve"> </v>
      </c>
    </row>
    <row r="7" spans="1:14">
      <c r="B7" s="196" t="s">
        <v>1090</v>
      </c>
      <c r="C7" s="197" t="str">
        <f>Budget!B11</f>
        <v xml:space="preserve"> </v>
      </c>
    </row>
    <row r="8" spans="1:14" ht="4.5" customHeight="1" thickBot="1">
      <c r="B8" s="196"/>
      <c r="C8" s="202"/>
    </row>
    <row r="9" spans="1:14" ht="30.75" customHeight="1">
      <c r="A9" s="461" t="s">
        <v>1091</v>
      </c>
      <c r="B9" s="462" t="s">
        <v>1092</v>
      </c>
      <c r="C9" s="462" t="s">
        <v>1093</v>
      </c>
      <c r="D9" s="462" t="s">
        <v>1094</v>
      </c>
      <c r="E9" s="462" t="s">
        <v>1095</v>
      </c>
      <c r="F9" s="463" t="s">
        <v>1212</v>
      </c>
      <c r="G9" s="464" t="s">
        <v>1213</v>
      </c>
      <c r="H9" s="1489" t="s">
        <v>1096</v>
      </c>
      <c r="I9" s="1490"/>
      <c r="J9" s="465" t="s">
        <v>1041</v>
      </c>
      <c r="K9" s="456"/>
      <c r="L9" s="43"/>
    </row>
    <row r="10" spans="1:14">
      <c r="A10" s="466">
        <v>1</v>
      </c>
      <c r="B10" s="438"/>
      <c r="C10" s="439"/>
      <c r="D10" s="440"/>
      <c r="E10" s="441"/>
      <c r="F10" s="445">
        <f>INT(G10*40.3399+0.5)</f>
        <v>0</v>
      </c>
      <c r="G10" s="444"/>
      <c r="H10" s="445">
        <f>INT(F10*0.21+0.5)</f>
        <v>0</v>
      </c>
      <c r="I10" s="446">
        <f>INT(G10*0.21*100+0.5)/100</f>
        <v>0</v>
      </c>
      <c r="J10" s="467"/>
      <c r="K10" s="456"/>
      <c r="L10" s="203" t="str">
        <f t="shared" ref="L10:L21" si="0">IF(C10&gt;(H$4+730),"&gt;",IF(C10&lt;(H$4-730),"&lt;","&gt;&lt;"))</f>
        <v>&gt;&lt;</v>
      </c>
      <c r="M10" s="204"/>
      <c r="N10" s="205"/>
    </row>
    <row r="11" spans="1:14">
      <c r="A11" s="466">
        <f t="shared" ref="A11:A21" si="1">A10+1</f>
        <v>2</v>
      </c>
      <c r="B11" s="438"/>
      <c r="C11" s="442"/>
      <c r="D11" s="440"/>
      <c r="E11" s="441"/>
      <c r="F11" s="445">
        <f t="shared" ref="F11:F21" si="2">INT(G11*40.3399+0.5)</f>
        <v>0</v>
      </c>
      <c r="G11" s="444"/>
      <c r="H11" s="445">
        <f t="shared" ref="H11:H21" si="3">INT(F11*0.21+0.5)</f>
        <v>0</v>
      </c>
      <c r="I11" s="446">
        <f t="shared" ref="I11:I21" si="4">INT(G11*0.21*100+0.5)/100</f>
        <v>0</v>
      </c>
      <c r="J11" s="467"/>
      <c r="K11" s="456"/>
      <c r="L11" s="203" t="str">
        <f t="shared" si="0"/>
        <v>&gt;&lt;</v>
      </c>
      <c r="M11" s="204"/>
      <c r="N11" s="205"/>
    </row>
    <row r="12" spans="1:14">
      <c r="A12" s="466">
        <f t="shared" si="1"/>
        <v>3</v>
      </c>
      <c r="B12" s="438"/>
      <c r="C12" s="439"/>
      <c r="D12" s="443"/>
      <c r="E12" s="441"/>
      <c r="F12" s="445">
        <f t="shared" si="2"/>
        <v>0</v>
      </c>
      <c r="G12" s="444"/>
      <c r="H12" s="445">
        <f t="shared" si="3"/>
        <v>0</v>
      </c>
      <c r="I12" s="446">
        <f t="shared" si="4"/>
        <v>0</v>
      </c>
      <c r="J12" s="467"/>
      <c r="K12" s="456"/>
      <c r="L12" s="203" t="str">
        <f t="shared" si="0"/>
        <v>&gt;&lt;</v>
      </c>
      <c r="M12" s="204"/>
      <c r="N12" s="205"/>
    </row>
    <row r="13" spans="1:14">
      <c r="A13" s="466">
        <f t="shared" si="1"/>
        <v>4</v>
      </c>
      <c r="B13" s="438"/>
      <c r="C13" s="439"/>
      <c r="D13" s="443"/>
      <c r="E13" s="441"/>
      <c r="F13" s="445">
        <f t="shared" si="2"/>
        <v>0</v>
      </c>
      <c r="G13" s="444"/>
      <c r="H13" s="445">
        <f t="shared" si="3"/>
        <v>0</v>
      </c>
      <c r="I13" s="446">
        <f t="shared" si="4"/>
        <v>0</v>
      </c>
      <c r="J13" s="467"/>
      <c r="K13" s="456"/>
      <c r="L13" s="203" t="str">
        <f t="shared" si="0"/>
        <v>&gt;&lt;</v>
      </c>
      <c r="M13" s="204"/>
      <c r="N13" s="205"/>
    </row>
    <row r="14" spans="1:14">
      <c r="A14" s="466">
        <f t="shared" si="1"/>
        <v>5</v>
      </c>
      <c r="B14" s="438"/>
      <c r="C14" s="439"/>
      <c r="D14" s="443"/>
      <c r="E14" s="441"/>
      <c r="F14" s="445">
        <f t="shared" si="2"/>
        <v>0</v>
      </c>
      <c r="G14" s="444"/>
      <c r="H14" s="445">
        <f t="shared" si="3"/>
        <v>0</v>
      </c>
      <c r="I14" s="446">
        <f t="shared" si="4"/>
        <v>0</v>
      </c>
      <c r="J14" s="467"/>
      <c r="K14" s="456"/>
      <c r="L14" s="203" t="str">
        <f t="shared" si="0"/>
        <v>&gt;&lt;</v>
      </c>
      <c r="M14" s="204"/>
      <c r="N14" s="205"/>
    </row>
    <row r="15" spans="1:14">
      <c r="A15" s="466">
        <f t="shared" si="1"/>
        <v>6</v>
      </c>
      <c r="B15" s="438"/>
      <c r="C15" s="439"/>
      <c r="D15" s="443"/>
      <c r="E15" s="441"/>
      <c r="F15" s="445">
        <f t="shared" si="2"/>
        <v>0</v>
      </c>
      <c r="G15" s="444"/>
      <c r="H15" s="445">
        <f t="shared" si="3"/>
        <v>0</v>
      </c>
      <c r="I15" s="446">
        <f t="shared" si="4"/>
        <v>0</v>
      </c>
      <c r="J15" s="467"/>
      <c r="K15" s="456"/>
      <c r="L15" s="203" t="str">
        <f t="shared" si="0"/>
        <v>&gt;&lt;</v>
      </c>
      <c r="M15" s="204"/>
      <c r="N15" s="205"/>
    </row>
    <row r="16" spans="1:14">
      <c r="A16" s="466">
        <f t="shared" si="1"/>
        <v>7</v>
      </c>
      <c r="B16" s="438"/>
      <c r="C16" s="439"/>
      <c r="D16" s="443"/>
      <c r="E16" s="441"/>
      <c r="F16" s="445">
        <f t="shared" si="2"/>
        <v>0</v>
      </c>
      <c r="G16" s="444"/>
      <c r="H16" s="445">
        <f t="shared" si="3"/>
        <v>0</v>
      </c>
      <c r="I16" s="446">
        <f t="shared" si="4"/>
        <v>0</v>
      </c>
      <c r="J16" s="467"/>
      <c r="K16" s="456"/>
      <c r="L16" s="203" t="str">
        <f t="shared" si="0"/>
        <v>&gt;&lt;</v>
      </c>
      <c r="M16" s="204"/>
      <c r="N16" s="205"/>
    </row>
    <row r="17" spans="1:22">
      <c r="A17" s="466">
        <f t="shared" si="1"/>
        <v>8</v>
      </c>
      <c r="B17" s="438"/>
      <c r="C17" s="439"/>
      <c r="D17" s="440"/>
      <c r="E17" s="441"/>
      <c r="F17" s="445">
        <f t="shared" si="2"/>
        <v>0</v>
      </c>
      <c r="G17" s="444"/>
      <c r="H17" s="445">
        <f t="shared" si="3"/>
        <v>0</v>
      </c>
      <c r="I17" s="446">
        <f t="shared" si="4"/>
        <v>0</v>
      </c>
      <c r="J17" s="467"/>
      <c r="K17" s="456"/>
      <c r="L17" s="203" t="str">
        <f t="shared" si="0"/>
        <v>&gt;&lt;</v>
      </c>
      <c r="M17" s="204"/>
      <c r="N17" s="205"/>
    </row>
    <row r="18" spans="1:22">
      <c r="A18" s="466">
        <f t="shared" si="1"/>
        <v>9</v>
      </c>
      <c r="B18" s="438"/>
      <c r="C18" s="439"/>
      <c r="D18" s="440"/>
      <c r="E18" s="441"/>
      <c r="F18" s="445">
        <f t="shared" si="2"/>
        <v>0</v>
      </c>
      <c r="G18" s="444"/>
      <c r="H18" s="445">
        <f t="shared" si="3"/>
        <v>0</v>
      </c>
      <c r="I18" s="446">
        <f t="shared" si="4"/>
        <v>0</v>
      </c>
      <c r="J18" s="467"/>
      <c r="K18" s="456"/>
      <c r="L18" s="203" t="str">
        <f t="shared" si="0"/>
        <v>&gt;&lt;</v>
      </c>
      <c r="M18" s="204"/>
      <c r="N18" s="205"/>
    </row>
    <row r="19" spans="1:22">
      <c r="A19" s="466">
        <f t="shared" si="1"/>
        <v>10</v>
      </c>
      <c r="B19" s="438"/>
      <c r="C19" s="439"/>
      <c r="D19" s="440"/>
      <c r="E19" s="441"/>
      <c r="F19" s="445">
        <f t="shared" si="2"/>
        <v>0</v>
      </c>
      <c r="G19" s="444"/>
      <c r="H19" s="445">
        <f t="shared" si="3"/>
        <v>0</v>
      </c>
      <c r="I19" s="446">
        <f t="shared" si="4"/>
        <v>0</v>
      </c>
      <c r="J19" s="467"/>
      <c r="K19" s="456"/>
      <c r="L19" s="203" t="str">
        <f t="shared" si="0"/>
        <v>&gt;&lt;</v>
      </c>
      <c r="M19" s="204"/>
      <c r="N19" s="205"/>
    </row>
    <row r="20" spans="1:22">
      <c r="A20" s="466">
        <f t="shared" si="1"/>
        <v>11</v>
      </c>
      <c r="B20" s="438"/>
      <c r="C20" s="439"/>
      <c r="D20" s="440"/>
      <c r="E20" s="441"/>
      <c r="F20" s="445">
        <f t="shared" si="2"/>
        <v>0</v>
      </c>
      <c r="G20" s="444"/>
      <c r="H20" s="445">
        <f t="shared" si="3"/>
        <v>0</v>
      </c>
      <c r="I20" s="446">
        <f t="shared" si="4"/>
        <v>0</v>
      </c>
      <c r="J20" s="467"/>
      <c r="K20" s="456"/>
      <c r="L20" s="203" t="str">
        <f t="shared" si="0"/>
        <v>&gt;&lt;</v>
      </c>
      <c r="M20" s="204"/>
      <c r="N20" s="205"/>
    </row>
    <row r="21" spans="1:22">
      <c r="A21" s="466">
        <f t="shared" si="1"/>
        <v>12</v>
      </c>
      <c r="B21" s="438"/>
      <c r="C21" s="439"/>
      <c r="D21" s="440"/>
      <c r="E21" s="441"/>
      <c r="F21" s="445">
        <f t="shared" si="2"/>
        <v>0</v>
      </c>
      <c r="G21" s="444"/>
      <c r="H21" s="445">
        <f t="shared" si="3"/>
        <v>0</v>
      </c>
      <c r="I21" s="446">
        <f t="shared" si="4"/>
        <v>0</v>
      </c>
      <c r="J21" s="467"/>
      <c r="K21" s="456"/>
      <c r="L21" s="203" t="str">
        <f t="shared" si="0"/>
        <v>&gt;&lt;</v>
      </c>
      <c r="M21" s="204"/>
      <c r="N21" s="205"/>
    </row>
    <row r="22" spans="1:22" ht="16.5" customHeight="1">
      <c r="A22" s="468"/>
      <c r="B22" s="206"/>
      <c r="C22" s="206"/>
      <c r="D22" s="206"/>
      <c r="E22" s="207" t="s">
        <v>1097</v>
      </c>
      <c r="F22" s="449">
        <f>SUM(F10:F21)</f>
        <v>0</v>
      </c>
      <c r="G22" s="448">
        <f>SUM(G10:G21)</f>
        <v>0</v>
      </c>
      <c r="H22" s="447">
        <f>SUM(H10:H21)</f>
        <v>0</v>
      </c>
      <c r="I22" s="448">
        <f>SUM(I10:I21)</f>
        <v>0</v>
      </c>
      <c r="J22" s="469"/>
      <c r="K22" s="456"/>
    </row>
    <row r="23" spans="1:22" ht="8.25" customHeight="1" thickBot="1">
      <c r="A23" s="470"/>
      <c r="B23" s="301"/>
      <c r="C23" s="301"/>
      <c r="D23" s="301"/>
      <c r="E23" s="301"/>
      <c r="F23" s="450"/>
      <c r="G23" s="471"/>
      <c r="H23" s="472"/>
      <c r="I23" s="472"/>
      <c r="J23" s="473"/>
      <c r="K23" s="456"/>
    </row>
    <row r="24" spans="1:22" ht="33.75" customHeight="1" thickBot="1">
      <c r="A24" s="456"/>
      <c r="B24" s="456"/>
      <c r="C24" s="456"/>
      <c r="D24" s="457" t="s">
        <v>1098</v>
      </c>
      <c r="E24" s="458"/>
      <c r="F24" s="451">
        <f>F22</f>
        <v>0</v>
      </c>
      <c r="G24" s="459">
        <f>G22</f>
        <v>0</v>
      </c>
      <c r="H24" s="460"/>
      <c r="I24" s="460"/>
      <c r="J24" s="456"/>
    </row>
    <row r="25" spans="1:22">
      <c r="D25" s="208" t="s">
        <v>1099</v>
      </c>
      <c r="F25" s="453">
        <f>F22+H22</f>
        <v>0</v>
      </c>
      <c r="G25" s="454">
        <f>G22+I22</f>
        <v>0</v>
      </c>
      <c r="H25" s="209"/>
      <c r="I25" s="209"/>
      <c r="M25" s="210"/>
      <c r="N25" s="210"/>
      <c r="O25" s="210"/>
      <c r="P25" s="210"/>
      <c r="Q25" s="210"/>
      <c r="R25" s="210"/>
      <c r="S25" s="211"/>
      <c r="T25" s="211"/>
      <c r="U25" s="211"/>
      <c r="V25" s="211"/>
    </row>
    <row r="26" spans="1:22" ht="2.25" customHeight="1">
      <c r="F26" s="209"/>
      <c r="G26" s="212"/>
      <c r="H26" s="209"/>
      <c r="I26" s="209"/>
      <c r="M26" s="210"/>
      <c r="N26" s="210"/>
      <c r="O26" s="210"/>
      <c r="P26" s="210"/>
      <c r="Q26" s="210"/>
      <c r="R26" s="210"/>
      <c r="S26" s="211"/>
      <c r="T26" s="211"/>
      <c r="U26" s="211"/>
      <c r="V26" s="211"/>
    </row>
    <row r="27" spans="1:22">
      <c r="B27" s="213" t="s">
        <v>1100</v>
      </c>
      <c r="F27" s="209"/>
      <c r="G27" s="212"/>
      <c r="H27" s="209"/>
      <c r="I27" s="209"/>
      <c r="M27" s="214" t="s">
        <v>1101</v>
      </c>
      <c r="N27" s="214" t="s">
        <v>1101</v>
      </c>
      <c r="O27" s="214" t="s">
        <v>1101</v>
      </c>
      <c r="P27" s="214" t="s">
        <v>1101</v>
      </c>
      <c r="Q27" s="214" t="s">
        <v>1101</v>
      </c>
      <c r="R27" s="214" t="s">
        <v>1101</v>
      </c>
      <c r="S27" s="214" t="s">
        <v>1101</v>
      </c>
      <c r="T27" s="215"/>
      <c r="U27" s="215"/>
      <c r="V27" s="211"/>
    </row>
    <row r="28" spans="1:22">
      <c r="B28" s="216" t="s">
        <v>1102</v>
      </c>
      <c r="F28" s="455">
        <f>M29</f>
        <v>0</v>
      </c>
      <c r="G28" s="452">
        <f>M30</f>
        <v>0</v>
      </c>
      <c r="H28" s="209"/>
      <c r="I28" s="209"/>
      <c r="M28" s="214">
        <v>1</v>
      </c>
      <c r="N28" s="214">
        <v>2</v>
      </c>
      <c r="O28" s="214">
        <v>3</v>
      </c>
      <c r="P28" s="214">
        <v>4</v>
      </c>
      <c r="Q28" s="214">
        <v>5</v>
      </c>
      <c r="R28" s="214">
        <v>6</v>
      </c>
      <c r="S28" s="214">
        <v>7</v>
      </c>
      <c r="T28" s="215"/>
      <c r="U28" s="215"/>
      <c r="V28" s="211"/>
    </row>
    <row r="29" spans="1:22">
      <c r="B29" s="216" t="s">
        <v>1103</v>
      </c>
      <c r="F29" s="455">
        <f>N29</f>
        <v>0</v>
      </c>
      <c r="G29" s="452">
        <f>N30</f>
        <v>0</v>
      </c>
      <c r="H29" s="209"/>
      <c r="I29" s="209"/>
      <c r="M29" s="217">
        <f>DSUM(F9:J21,1,M27:M28)</f>
        <v>0</v>
      </c>
      <c r="N29" s="217">
        <f>DSUM(F9:J21,1,N27:N28)</f>
        <v>0</v>
      </c>
      <c r="O29" s="217">
        <f>DSUM(F9:J21,1,O27:O28)</f>
        <v>0</v>
      </c>
      <c r="P29" s="217">
        <f>DSUM(F9:J21,1,P27:P28)</f>
        <v>0</v>
      </c>
      <c r="Q29" s="217">
        <f>DSUM(F9:J21,1,Q27:Q28)</f>
        <v>0</v>
      </c>
      <c r="R29" s="217">
        <f>DSUM(F9:J21,1,R27:R28)</f>
        <v>0</v>
      </c>
      <c r="S29" s="217">
        <f>DSUM(F9:J21,1,S27:S28)</f>
        <v>0</v>
      </c>
      <c r="T29" s="215"/>
      <c r="U29" s="215"/>
      <c r="V29" s="211"/>
    </row>
    <row r="30" spans="1:22">
      <c r="B30" s="216" t="s">
        <v>1104</v>
      </c>
      <c r="F30" s="455">
        <f>O29</f>
        <v>0</v>
      </c>
      <c r="G30" s="452">
        <f>O30</f>
        <v>0</v>
      </c>
      <c r="H30" s="209"/>
      <c r="I30" s="209"/>
      <c r="M30" s="218">
        <f t="shared" ref="M30:S30" si="5">DSUM($G$9:$J$21,1,M27:M28)</f>
        <v>0</v>
      </c>
      <c r="N30" s="218">
        <f t="shared" si="5"/>
        <v>0</v>
      </c>
      <c r="O30" s="218">
        <f t="shared" si="5"/>
        <v>0</v>
      </c>
      <c r="P30" s="218">
        <f t="shared" si="5"/>
        <v>0</v>
      </c>
      <c r="Q30" s="218">
        <f t="shared" si="5"/>
        <v>0</v>
      </c>
      <c r="R30" s="218">
        <f t="shared" si="5"/>
        <v>0</v>
      </c>
      <c r="S30" s="218">
        <f t="shared" si="5"/>
        <v>0</v>
      </c>
      <c r="T30" s="215"/>
      <c r="U30" s="215"/>
      <c r="V30" s="211"/>
    </row>
    <row r="31" spans="1:22">
      <c r="B31" s="216" t="s">
        <v>1105</v>
      </c>
      <c r="F31" s="455">
        <f>P29</f>
        <v>0</v>
      </c>
      <c r="G31" s="452">
        <f>P30</f>
        <v>0</v>
      </c>
      <c r="H31" s="209"/>
      <c r="I31" s="209"/>
      <c r="M31" s="218"/>
      <c r="N31" s="218"/>
      <c r="O31" s="218"/>
      <c r="P31" s="218"/>
      <c r="Q31" s="218"/>
      <c r="R31" s="218"/>
      <c r="S31" s="215"/>
      <c r="T31" s="215"/>
      <c r="U31" s="215"/>
      <c r="V31" s="211"/>
    </row>
    <row r="32" spans="1:22">
      <c r="B32" s="216" t="s">
        <v>1106</v>
      </c>
      <c r="F32" s="455">
        <f>Q29</f>
        <v>0</v>
      </c>
      <c r="G32" s="452">
        <f>Q30</f>
        <v>0</v>
      </c>
      <c r="H32" s="209"/>
      <c r="I32" s="209"/>
      <c r="M32" s="218"/>
      <c r="N32" s="218"/>
      <c r="O32" s="218"/>
      <c r="P32" s="218"/>
      <c r="Q32" s="218"/>
      <c r="R32" s="218"/>
      <c r="S32" s="215"/>
      <c r="T32" s="215"/>
      <c r="U32" s="215"/>
      <c r="V32" s="211"/>
    </row>
    <row r="33" spans="2:22">
      <c r="B33" s="216" t="s">
        <v>1107</v>
      </c>
      <c r="F33" s="455">
        <f>R29</f>
        <v>0</v>
      </c>
      <c r="G33" s="452">
        <f>R30</f>
        <v>0</v>
      </c>
      <c r="H33" s="209"/>
      <c r="I33" s="209"/>
      <c r="M33" s="218"/>
      <c r="N33" s="218"/>
      <c r="O33" s="218"/>
      <c r="P33" s="218"/>
      <c r="Q33" s="218"/>
      <c r="R33" s="218"/>
      <c r="S33" s="215"/>
      <c r="T33" s="215"/>
      <c r="U33" s="215"/>
      <c r="V33" s="211"/>
    </row>
    <row r="34" spans="2:22">
      <c r="B34" s="216" t="s">
        <v>1108</v>
      </c>
      <c r="F34" s="455">
        <f>S29</f>
        <v>0</v>
      </c>
      <c r="G34" s="452">
        <f>S30</f>
        <v>0</v>
      </c>
      <c r="H34" s="209"/>
      <c r="I34" s="209"/>
      <c r="M34" s="218"/>
      <c r="N34" s="218"/>
      <c r="O34" s="218"/>
      <c r="P34" s="218"/>
      <c r="Q34" s="218"/>
      <c r="R34" s="218"/>
      <c r="S34" s="215"/>
      <c r="T34" s="215"/>
      <c r="U34" s="215"/>
      <c r="V34" s="211"/>
    </row>
    <row r="35" spans="2:22" ht="31.5" customHeight="1">
      <c r="E35" s="219"/>
      <c r="F35" s="1491" t="str">
        <f ca="1">"Vu en original le " &amp; TEXT(NOW(),"jj/mm/aaaa") &amp; " à "</f>
        <v xml:space="preserve">Vu en original le 25/10/2016 à </v>
      </c>
      <c r="G35" s="1491"/>
      <c r="H35" s="1487">
        <f>Budget!N5</f>
        <v>0</v>
      </c>
      <c r="I35" s="1487"/>
      <c r="M35" s="218"/>
      <c r="N35" s="218"/>
      <c r="O35" s="218"/>
      <c r="P35" s="218"/>
      <c r="Q35" s="218"/>
      <c r="R35" s="218"/>
      <c r="S35" s="215"/>
      <c r="T35" s="215"/>
      <c r="U35" s="215"/>
      <c r="V35" s="211"/>
    </row>
    <row r="36" spans="2:22">
      <c r="E36" s="220"/>
      <c r="F36" s="1486">
        <f>Budget!N9</f>
        <v>0</v>
      </c>
      <c r="G36" s="1486"/>
      <c r="H36" s="194" t="e">
        <f>TRIM(Budget!N6)</f>
        <v>#VALUE!</v>
      </c>
      <c r="M36" s="210"/>
      <c r="N36" s="210"/>
      <c r="O36" s="210"/>
      <c r="P36" s="210"/>
      <c r="Q36" s="210"/>
      <c r="R36" s="210"/>
      <c r="S36" s="211"/>
      <c r="T36" s="211"/>
      <c r="U36" s="211"/>
      <c r="V36" s="211"/>
    </row>
    <row r="37" spans="2:22">
      <c r="E37" s="132"/>
      <c r="F37" s="221"/>
      <c r="G37" s="221"/>
      <c r="H37" s="221"/>
      <c r="M37" s="210"/>
      <c r="N37" s="210"/>
      <c r="O37" s="210"/>
      <c r="P37" s="210"/>
      <c r="Q37" s="210"/>
      <c r="R37" s="210"/>
      <c r="S37" s="210"/>
      <c r="T37" s="210"/>
      <c r="U37" s="210"/>
      <c r="V37" s="210"/>
    </row>
    <row r="38" spans="2:22">
      <c r="E38" s="132"/>
      <c r="F38" s="221"/>
      <c r="G38" s="221"/>
      <c r="H38" s="221"/>
      <c r="M38" s="210"/>
      <c r="N38" s="210"/>
      <c r="O38" s="210"/>
      <c r="P38" s="210"/>
      <c r="Q38" s="210"/>
      <c r="R38" s="210"/>
      <c r="S38" s="210"/>
      <c r="T38" s="210"/>
      <c r="U38" s="210"/>
      <c r="V38" s="210"/>
    </row>
    <row r="39" spans="2:22">
      <c r="E39" s="132"/>
      <c r="F39" s="221"/>
      <c r="G39" s="221"/>
      <c r="H39" s="221"/>
    </row>
    <row r="40" spans="2:22">
      <c r="E40" s="220"/>
      <c r="F40" s="221"/>
      <c r="G40" s="221"/>
      <c r="H40" s="221"/>
    </row>
    <row r="41" spans="2:22">
      <c r="F41" s="1486">
        <f>Budget!N10</f>
        <v>0</v>
      </c>
      <c r="G41" s="1486"/>
      <c r="H41" s="194" t="e">
        <f>TRIM(Budget!N7)</f>
        <v>#VALUE!</v>
      </c>
    </row>
  </sheetData>
  <customSheetViews>
    <customSheetView guid="{666CE5F8-0F01-4246-8501-D3EAFC05BD86}" scale="88" showGridLines="0" fitToPage="1" hiddenColumns="1" state="hidden" showRuler="0">
      <pane ySplit="9" topLeftCell="B10" activePane="bottomRight" state="frozen"/>
      <selection pane="bottomRight" sqref="A1:IV65536"/>
      <rowBreaks count="1" manualBreakCount="1">
        <brk id="45" max="65535" man="1"/>
      </rowBreaks>
      <pageMargins left="0.19685039370078741" right="0" top="0.3" bottom="0.24" header="0.27" footer="0.11811023622047245"/>
      <printOptions horizontalCentered="1"/>
      <pageSetup paperSize="9" orientation="landscape" blackAndWhite="1" horizontalDpi="300" verticalDpi="300" r:id="rId1"/>
      <headerFooter alignWithMargins="0"/>
    </customSheetView>
  </customSheetViews>
  <mergeCells count="7">
    <mergeCell ref="F36:G36"/>
    <mergeCell ref="F41:G41"/>
    <mergeCell ref="H35:I35"/>
    <mergeCell ref="A2:H2"/>
    <mergeCell ref="H4:J4"/>
    <mergeCell ref="H9:I9"/>
    <mergeCell ref="F35:G35"/>
  </mergeCells>
  <phoneticPr fontId="0" type="noConversion"/>
  <dataValidations count="1">
    <dataValidation type="date" allowBlank="1" showInputMessage="1" showErrorMessage="1" sqref="H4:J4">
      <formula1>36526</formula1>
      <formula2>65746</formula2>
    </dataValidation>
  </dataValidations>
  <printOptions horizontalCentered="1" gridLinesSet="0"/>
  <pageMargins left="0.19685039370078741" right="0" top="0.3" bottom="0.24" header="0.27" footer="0.11811023622047245"/>
  <pageSetup paperSize="9" orientation="landscape" blackAndWhite="1" horizontalDpi="300" verticalDpi="300" r:id="rId2"/>
  <headerFooter alignWithMargins="0"/>
  <rowBreaks count="1" manualBreakCount="1">
    <brk id="45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129</vt:i4>
      </vt:variant>
    </vt:vector>
  </HeadingPairs>
  <TitlesOfParts>
    <vt:vector size="136" baseType="lpstr">
      <vt:lpstr>Budget</vt:lpstr>
      <vt:lpstr>Valeurs</vt:lpstr>
      <vt:lpstr>R.Technique</vt:lpstr>
      <vt:lpstr>Fich.Structure</vt:lpstr>
      <vt:lpstr>Données à transférer</vt:lpstr>
      <vt:lpstr>Relevé Factures</vt:lpstr>
      <vt:lpstr>Feuil1</vt:lpstr>
      <vt:lpstr>ALIMENTATION</vt:lpstr>
      <vt:lpstr>ANNEE</vt:lpstr>
      <vt:lpstr>AVIS</vt:lpstr>
      <vt:lpstr>BETAIL</vt:lpstr>
      <vt:lpstr>BUDG_AN_BUDGET</vt:lpstr>
      <vt:lpstr>BUDG_ANNEE_DEB</vt:lpstr>
      <vt:lpstr>BUDG_ANNEE_FIN</vt:lpstr>
      <vt:lpstr>BUDG_AUTRES_AP</vt:lpstr>
      <vt:lpstr>BUDG_AUTRES_AV</vt:lpstr>
      <vt:lpstr>BUDG_BOVIN_OVIN_AP</vt:lpstr>
      <vt:lpstr>BUDG_BOVIN_OVIN_AV</vt:lpstr>
      <vt:lpstr>BUDG_CULT_COM_AP</vt:lpstr>
      <vt:lpstr>BUDG_CULT_COM_AV</vt:lpstr>
      <vt:lpstr>BUDG_CULT_FOUR_AP</vt:lpstr>
      <vt:lpstr>BUDG_CULT_FOUR_AV</vt:lpstr>
      <vt:lpstr>BUDG_CULT_HORT_AP</vt:lpstr>
      <vt:lpstr>BUDG_CULT_HORT_AV</vt:lpstr>
      <vt:lpstr>BUDG_PROD_PORC_AP</vt:lpstr>
      <vt:lpstr>BUDG_PROD_PORC_AV</vt:lpstr>
      <vt:lpstr>BUDG_REV_ACCES_AP</vt:lpstr>
      <vt:lpstr>BUDG_REV_ACCES_AV</vt:lpstr>
      <vt:lpstr>BUDG_REV_COMP_AP</vt:lpstr>
      <vt:lpstr>BUDG_REV_COMP_AV</vt:lpstr>
      <vt:lpstr>BUDG_REV_EXPL_AP</vt:lpstr>
      <vt:lpstr>BUDG_REV_EXPL_AV</vt:lpstr>
      <vt:lpstr>BUDG_REV_REF_AP</vt:lpstr>
      <vt:lpstr>BUDG_REV_REF_AV</vt:lpstr>
      <vt:lpstr>BUDG_UTH_AP</vt:lpstr>
      <vt:lpstr>BUDG_UTH_AV</vt:lpstr>
      <vt:lpstr>BUDG_V_PRD_LAIT_AP</vt:lpstr>
      <vt:lpstr>BUDG_V_PRD_LAIT_AV</vt:lpstr>
      <vt:lpstr>but_inves</vt:lpstr>
      <vt:lpstr>CHARGES</vt:lpstr>
      <vt:lpstr>code_ote</vt:lpstr>
      <vt:lpstr>Criteres</vt:lpstr>
      <vt:lpstr>Critères_MI</vt:lpstr>
      <vt:lpstr>DATGEN</vt:lpstr>
      <vt:lpstr>DATJ</vt:lpstr>
      <vt:lpstr>DOSDGA</vt:lpstr>
      <vt:lpstr>DOSDL</vt:lpstr>
      <vt:lpstr>DOSFIA</vt:lpstr>
      <vt:lpstr>DOSSE</vt:lpstr>
      <vt:lpstr>ENTREPRISE</vt:lpstr>
      <vt:lpstr>Extraction_MI</vt:lpstr>
      <vt:lpstr>Extraire</vt:lpstr>
      <vt:lpstr>favdef</vt:lpstr>
      <vt:lpstr>Froment</vt:lpstr>
      <vt:lpstr>HEURES_BOVINS</vt:lpstr>
      <vt:lpstr>INGLOC</vt:lpstr>
      <vt:lpstr>INGNOM</vt:lpstr>
      <vt:lpstr>INGTIT</vt:lpstr>
      <vt:lpstr>MATERIEL</vt:lpstr>
      <vt:lpstr>NODOS</vt:lpstr>
      <vt:lpstr>ouinon</vt:lpstr>
      <vt:lpstr>OUINON_RT</vt:lpstr>
      <vt:lpstr>Pam</vt:lpstr>
      <vt:lpstr>QUOTAS</vt:lpstr>
      <vt:lpstr>RAPT_AVIS_TEC</vt:lpstr>
      <vt:lpstr>RAPT_DAT_PERM_EXP</vt:lpstr>
      <vt:lpstr>RAPT_DATE_PERM_BAT</vt:lpstr>
      <vt:lpstr>RAPT_DATE_RAPPORT</vt:lpstr>
      <vt:lpstr>RAPT_EXPL_LOCB_AP</vt:lpstr>
      <vt:lpstr>RAPT_EXPL_LOCB_AV</vt:lpstr>
      <vt:lpstr>RAPT_EXPL_LOCC_AP</vt:lpstr>
      <vt:lpstr>RAPT_EXPL_LOCC_AV</vt:lpstr>
      <vt:lpstr>RAPT_EXPL_PROP_AP</vt:lpstr>
      <vt:lpstr>RAPT_EXPL_PROP_AV</vt:lpstr>
      <vt:lpstr>RAPT_ORDRRE_SANIT</vt:lpstr>
      <vt:lpstr>RAPT_PERMIS_BATIR</vt:lpstr>
      <vt:lpstr>RAPT_PROD_LAIT_DEB</vt:lpstr>
      <vt:lpstr>RAPT_PROD_LAIT_FIN</vt:lpstr>
      <vt:lpstr>RAPT_PROP_EXPAN</vt:lpstr>
      <vt:lpstr>RAPT_QUOTA_FIN</vt:lpstr>
      <vt:lpstr>RAPT_REF_PERM_BAT</vt:lpstr>
      <vt:lpstr>RAPT_REF_PERM_EXP</vt:lpstr>
      <vt:lpstr>RAPT_REMARQUE</vt:lpstr>
      <vt:lpstr>RAPT_SERRES_AP</vt:lpstr>
      <vt:lpstr>RAPT_SERRES_AV</vt:lpstr>
      <vt:lpstr>RAPT_SIEGE_EXPLOIT</vt:lpstr>
      <vt:lpstr>RAPT_STATUS_PORCS</vt:lpstr>
      <vt:lpstr>RAPT_STATUT_BOVINS</vt:lpstr>
      <vt:lpstr>RAPT_TER_PROM_AP</vt:lpstr>
      <vt:lpstr>RAPT_TER_PROM_AV</vt:lpstr>
      <vt:lpstr>regionagric</vt:lpstr>
      <vt:lpstr>RESULTATS</vt:lpstr>
      <vt:lpstr>Stat_Bov</vt:lpstr>
      <vt:lpstr>Budget!TABLE</vt:lpstr>
      <vt:lpstr>TEMPS_TRAVAIL</vt:lpstr>
      <vt:lpstr>XANADR</vt:lpstr>
      <vt:lpstr>XANCP</vt:lpstr>
      <vt:lpstr>XANCPT</vt:lpstr>
      <vt:lpstr>XANDIN</vt:lpstr>
      <vt:lpstr>XANDNA</vt:lpstr>
      <vt:lpstr>XANECI</vt:lpstr>
      <vt:lpstr>XANLDI</vt:lpstr>
      <vt:lpstr>XANLOC</vt:lpstr>
      <vt:lpstr>XANLSU</vt:lpstr>
      <vt:lpstr>XANLTY</vt:lpstr>
      <vt:lpstr>XANNBE</vt:lpstr>
      <vt:lpstr>XANNOM</vt:lpstr>
      <vt:lpstr>XANPOU</vt:lpstr>
      <vt:lpstr>XANPRE</vt:lpstr>
      <vt:lpstr>XANPRV</vt:lpstr>
      <vt:lpstr>XANREV</vt:lpstr>
      <vt:lpstr>XANSYG</vt:lpstr>
      <vt:lpstr>XONADR</vt:lpstr>
      <vt:lpstr>XONBUR</vt:lpstr>
      <vt:lpstr>XONCOD</vt:lpstr>
      <vt:lpstr>XONCOF</vt:lpstr>
      <vt:lpstr>XONCP</vt:lpstr>
      <vt:lpstr>XONLC</vt:lpstr>
      <vt:lpstr>XONLOC</vt:lpstr>
      <vt:lpstr>XONLRA</vt:lpstr>
      <vt:lpstr>XONLRD</vt:lpstr>
      <vt:lpstr>XONNBP</vt:lpstr>
      <vt:lpstr>XONNOM</vt:lpstr>
      <vt:lpstr>XONPRE</vt:lpstr>
      <vt:lpstr>XONPRV</vt:lpstr>
      <vt:lpstr>XONQLT</vt:lpstr>
      <vt:lpstr>XONSUP</vt:lpstr>
      <vt:lpstr>XONSYG</vt:lpstr>
      <vt:lpstr>XONTVA</vt:lpstr>
      <vt:lpstr>XONUTH</vt:lpstr>
      <vt:lpstr>Budget!Zone_d_impression</vt:lpstr>
      <vt:lpstr>Fich.Structure!Zone_d_impression</vt:lpstr>
      <vt:lpstr>R.Technique!Zone_d_impression</vt:lpstr>
      <vt:lpstr>'Relevé Factures'!Zone_d_impression</vt:lpstr>
      <vt:lpstr>Valeurs!Zone_d_impression</vt:lpstr>
      <vt:lpstr>'Relevé Factures'!Zone_impres_MI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F.I.A. - Investissement(s) envisagé(s)</dc:title>
  <dc:creator>M.R.W.</dc:creator>
  <cp:lastModifiedBy>45742</cp:lastModifiedBy>
  <cp:lastPrinted>2007-10-26T11:16:29Z</cp:lastPrinted>
  <dcterms:created xsi:type="dcterms:W3CDTF">2001-06-07T09:41:41Z</dcterms:created>
  <dcterms:modified xsi:type="dcterms:W3CDTF">2016-10-25T12:20:56Z</dcterms:modified>
</cp:coreProperties>
</file>